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\Documents\Work\Active Projects\2817 Nottingham Derby TCF bid\Project Files\Economic Case\Cycling\"/>
    </mc:Choice>
  </mc:AlternateContent>
  <xr:revisionPtr revIDLastSave="0" documentId="13_ncr:1_{DA213735-53C3-4B9F-9D6F-C1307F52FC04}" xr6:coauthVersionLast="40" xr6:coauthVersionMax="40" xr10:uidLastSave="{00000000-0000-0000-0000-000000000000}"/>
  <bookViews>
    <workbookView xWindow="0" yWindow="0" windowWidth="23040" windowHeight="9048" tabRatio="792" activeTab="1" xr2:uid="{00000000-000D-0000-FFFF-FFFF00000000}"/>
  </bookViews>
  <sheets>
    <sheet name="Change in daily cycle trips" sheetId="4" r:id="rId1"/>
    <sheet name="eBike hire scheme calcs" sheetId="5" r:id="rId2"/>
    <sheet name="Factors and data" sheetId="7" r:id="rId3"/>
  </sheets>
  <calcPr calcId="181029"/>
</workbook>
</file>

<file path=xl/calcChain.xml><?xml version="1.0" encoding="utf-8"?>
<calcChain xmlns="http://schemas.openxmlformats.org/spreadsheetml/2006/main">
  <c r="A43" i="5" l="1"/>
  <c r="A42" i="5"/>
  <c r="C363" i="7"/>
  <c r="B363" i="7"/>
  <c r="C362" i="7"/>
  <c r="B362" i="7"/>
  <c r="C361" i="7"/>
  <c r="B361" i="7"/>
  <c r="C360" i="7"/>
  <c r="B360" i="7"/>
  <c r="C359" i="7"/>
  <c r="B359" i="7"/>
  <c r="D357" i="7"/>
  <c r="D356" i="7"/>
  <c r="D355" i="7"/>
  <c r="D354" i="7"/>
  <c r="D353" i="7"/>
  <c r="D351" i="7"/>
  <c r="D363" i="7" s="1"/>
  <c r="D350" i="7"/>
  <c r="D362" i="7" s="1"/>
  <c r="D349" i="7"/>
  <c r="D361" i="7" s="1"/>
  <c r="D348" i="7"/>
  <c r="D360" i="7" s="1"/>
  <c r="D347" i="7"/>
  <c r="D359" i="7" s="1"/>
  <c r="F310" i="7"/>
  <c r="E310" i="7"/>
  <c r="D310" i="7"/>
  <c r="F309" i="7"/>
  <c r="E309" i="7"/>
  <c r="D309" i="7"/>
  <c r="I277" i="7"/>
  <c r="H277" i="7"/>
  <c r="G277" i="7"/>
  <c r="F277" i="7"/>
  <c r="E277" i="7"/>
  <c r="D277" i="7"/>
  <c r="C277" i="7"/>
  <c r="B277" i="7"/>
  <c r="I276" i="7"/>
  <c r="H276" i="7"/>
  <c r="G276" i="7"/>
  <c r="F276" i="7"/>
  <c r="E276" i="7"/>
  <c r="D276" i="7"/>
  <c r="C276" i="7"/>
  <c r="B276" i="7"/>
  <c r="I275" i="7"/>
  <c r="H275" i="7"/>
  <c r="G275" i="7"/>
  <c r="F275" i="7"/>
  <c r="E275" i="7"/>
  <c r="D275" i="7"/>
  <c r="C275" i="7"/>
  <c r="B275" i="7"/>
  <c r="I274" i="7"/>
  <c r="H274" i="7"/>
  <c r="G274" i="7"/>
  <c r="F274" i="7"/>
  <c r="E274" i="7"/>
  <c r="D274" i="7"/>
  <c r="C274" i="7"/>
  <c r="B274" i="7"/>
  <c r="I273" i="7"/>
  <c r="H273" i="7"/>
  <c r="G273" i="7"/>
  <c r="F273" i="7"/>
  <c r="E273" i="7"/>
  <c r="D273" i="7"/>
  <c r="C273" i="7"/>
  <c r="B273" i="7"/>
  <c r="I272" i="7"/>
  <c r="H272" i="7"/>
  <c r="G272" i="7"/>
  <c r="F272" i="7"/>
  <c r="E272" i="7"/>
  <c r="D272" i="7"/>
  <c r="C272" i="7"/>
  <c r="B272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86" i="7"/>
  <c r="D186" i="7"/>
  <c r="C186" i="7"/>
  <c r="B186" i="7"/>
  <c r="B181" i="7"/>
  <c r="C125" i="7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68" i="7"/>
  <c r="C67" i="7"/>
  <c r="C66" i="7"/>
  <c r="C65" i="7"/>
  <c r="C64" i="7"/>
  <c r="A61" i="7"/>
  <c r="A56" i="7"/>
  <c r="A34" i="7"/>
  <c r="A29" i="7"/>
  <c r="B21" i="7"/>
  <c r="B10" i="7"/>
  <c r="B13" i="7" s="1"/>
  <c r="B7" i="7"/>
  <c r="C9" i="7" s="1"/>
  <c r="B5" i="7"/>
  <c r="C3" i="7" s="1"/>
  <c r="A41" i="7" s="1"/>
  <c r="B125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D55" i="5"/>
  <c r="D61" i="5" s="1"/>
  <c r="F61" i="5" s="1"/>
  <c r="D54" i="5"/>
  <c r="D60" i="5" s="1"/>
  <c r="F49" i="5"/>
  <c r="C49" i="5"/>
  <c r="E49" i="5" s="1"/>
  <c r="B49" i="5"/>
  <c r="G49" i="5" s="1"/>
  <c r="B60" i="5" s="1"/>
  <c r="F48" i="5"/>
  <c r="E48" i="5"/>
  <c r="D48" i="5"/>
  <c r="D49" i="5" s="1"/>
  <c r="C48" i="5"/>
  <c r="B48" i="5"/>
  <c r="G27" i="5"/>
  <c r="F27" i="5"/>
  <c r="G15" i="5"/>
  <c r="G22" i="5" s="1"/>
  <c r="F15" i="5"/>
  <c r="E15" i="5"/>
  <c r="D15" i="5"/>
  <c r="G14" i="5"/>
  <c r="G21" i="5" s="1"/>
  <c r="G28" i="5" s="1"/>
  <c r="F14" i="5"/>
  <c r="E14" i="5"/>
  <c r="D14" i="5"/>
  <c r="C8" i="7" l="1"/>
  <c r="D62" i="5"/>
  <c r="F60" i="5"/>
  <c r="F62" i="5" s="1"/>
  <c r="G29" i="5"/>
  <c r="F22" i="5"/>
  <c r="F21" i="5"/>
  <c r="F28" i="5" s="1"/>
  <c r="B62" i="5"/>
  <c r="C60" i="5"/>
  <c r="C62" i="5" s="1"/>
  <c r="E60" i="5"/>
  <c r="E61" i="5"/>
  <c r="G48" i="5"/>
  <c r="B61" i="5"/>
  <c r="C61" i="5" s="1"/>
  <c r="C18" i="4"/>
  <c r="F29" i="5" l="1"/>
  <c r="E22" i="5"/>
  <c r="E88" i="5"/>
  <c r="F88" i="5" s="1"/>
  <c r="E84" i="5"/>
  <c r="F84" i="5" s="1"/>
  <c r="E80" i="5"/>
  <c r="F80" i="5" s="1"/>
  <c r="E76" i="5"/>
  <c r="F76" i="5" s="1"/>
  <c r="E72" i="5"/>
  <c r="E91" i="5"/>
  <c r="F91" i="5" s="1"/>
  <c r="E90" i="5"/>
  <c r="F90" i="5" s="1"/>
  <c r="E89" i="5"/>
  <c r="F89" i="5" s="1"/>
  <c r="E75" i="5"/>
  <c r="F75" i="5" s="1"/>
  <c r="E74" i="5"/>
  <c r="F74" i="5" s="1"/>
  <c r="E73" i="5"/>
  <c r="F73" i="5" s="1"/>
  <c r="E83" i="5"/>
  <c r="F83" i="5" s="1"/>
  <c r="E82" i="5"/>
  <c r="F82" i="5" s="1"/>
  <c r="E81" i="5"/>
  <c r="F81" i="5" s="1"/>
  <c r="E79" i="5"/>
  <c r="F79" i="5" s="1"/>
  <c r="E78" i="5"/>
  <c r="F78" i="5" s="1"/>
  <c r="E77" i="5"/>
  <c r="F77" i="5" s="1"/>
  <c r="E87" i="5"/>
  <c r="F87" i="5" s="1"/>
  <c r="E86" i="5"/>
  <c r="F86" i="5" s="1"/>
  <c r="E85" i="5"/>
  <c r="F85" i="5" s="1"/>
  <c r="B91" i="5"/>
  <c r="B87" i="5"/>
  <c r="B83" i="5"/>
  <c r="B79" i="5"/>
  <c r="B75" i="5"/>
  <c r="B82" i="5"/>
  <c r="B81" i="5"/>
  <c r="B80" i="5"/>
  <c r="B90" i="5"/>
  <c r="B89" i="5"/>
  <c r="B88" i="5"/>
  <c r="B74" i="5"/>
  <c r="B73" i="5"/>
  <c r="B72" i="5"/>
  <c r="B86" i="5"/>
  <c r="B85" i="5"/>
  <c r="B84" i="5"/>
  <c r="B78" i="5"/>
  <c r="B77" i="5"/>
  <c r="B76" i="5"/>
  <c r="E62" i="5"/>
  <c r="E21" i="5"/>
  <c r="C90" i="5"/>
  <c r="C86" i="5"/>
  <c r="C82" i="5"/>
  <c r="C78" i="5"/>
  <c r="C74" i="5"/>
  <c r="C85" i="5"/>
  <c r="C84" i="5"/>
  <c r="C83" i="5"/>
  <c r="C91" i="5"/>
  <c r="C77" i="5"/>
  <c r="C76" i="5"/>
  <c r="C75" i="5"/>
  <c r="C89" i="5"/>
  <c r="C88" i="5"/>
  <c r="C87" i="5"/>
  <c r="C73" i="5"/>
  <c r="C72" i="5"/>
  <c r="C79" i="5"/>
  <c r="C80" i="5"/>
  <c r="C81" i="5"/>
  <c r="E17" i="4"/>
  <c r="D18" i="4"/>
  <c r="E18" i="4"/>
  <c r="C113" i="5" l="1"/>
  <c r="G113" i="5"/>
  <c r="D113" i="5"/>
  <c r="H113" i="5"/>
  <c r="E113" i="5"/>
  <c r="B113" i="5"/>
  <c r="F113" i="5"/>
  <c r="D114" i="5"/>
  <c r="H114" i="5"/>
  <c r="E114" i="5"/>
  <c r="B114" i="5"/>
  <c r="F114" i="5"/>
  <c r="C114" i="5"/>
  <c r="G114" i="5"/>
  <c r="E107" i="5"/>
  <c r="B107" i="5"/>
  <c r="F107" i="5"/>
  <c r="C107" i="5"/>
  <c r="G107" i="5"/>
  <c r="D107" i="5"/>
  <c r="H107" i="5"/>
  <c r="B100" i="5"/>
  <c r="F100" i="5"/>
  <c r="C100" i="5"/>
  <c r="I100" i="5" s="1"/>
  <c r="J100" i="5" s="1"/>
  <c r="K100" i="5" s="1"/>
  <c r="G100" i="5"/>
  <c r="D100" i="5"/>
  <c r="H100" i="5"/>
  <c r="E100" i="5"/>
  <c r="C117" i="5"/>
  <c r="G117" i="5"/>
  <c r="D117" i="5"/>
  <c r="H117" i="5"/>
  <c r="E117" i="5"/>
  <c r="B117" i="5"/>
  <c r="F117" i="5"/>
  <c r="D110" i="5"/>
  <c r="I110" i="5" s="1"/>
  <c r="J110" i="5" s="1"/>
  <c r="K110" i="5" s="1"/>
  <c r="H110" i="5"/>
  <c r="E110" i="5"/>
  <c r="B110" i="5"/>
  <c r="F110" i="5"/>
  <c r="C110" i="5"/>
  <c r="G110" i="5"/>
  <c r="E103" i="5"/>
  <c r="B103" i="5"/>
  <c r="F103" i="5"/>
  <c r="C103" i="5"/>
  <c r="G103" i="5"/>
  <c r="D103" i="5"/>
  <c r="H103" i="5"/>
  <c r="B108" i="5"/>
  <c r="F108" i="5"/>
  <c r="C108" i="5"/>
  <c r="G108" i="5"/>
  <c r="D108" i="5"/>
  <c r="H108" i="5"/>
  <c r="E108" i="5"/>
  <c r="E111" i="5"/>
  <c r="B111" i="5"/>
  <c r="F111" i="5"/>
  <c r="C111" i="5"/>
  <c r="G111" i="5"/>
  <c r="D111" i="5"/>
  <c r="H111" i="5"/>
  <c r="B104" i="5"/>
  <c r="I104" i="5" s="1"/>
  <c r="J104" i="5" s="1"/>
  <c r="K104" i="5" s="1"/>
  <c r="F104" i="5"/>
  <c r="C104" i="5"/>
  <c r="G104" i="5"/>
  <c r="D104" i="5"/>
  <c r="H104" i="5"/>
  <c r="E104" i="5"/>
  <c r="C109" i="5"/>
  <c r="G109" i="5"/>
  <c r="D109" i="5"/>
  <c r="H109" i="5"/>
  <c r="E109" i="5"/>
  <c r="B109" i="5"/>
  <c r="I109" i="5" s="1"/>
  <c r="J109" i="5" s="1"/>
  <c r="K109" i="5" s="1"/>
  <c r="F109" i="5"/>
  <c r="E115" i="5"/>
  <c r="B115" i="5"/>
  <c r="F115" i="5"/>
  <c r="C115" i="5"/>
  <c r="G115" i="5"/>
  <c r="D115" i="5"/>
  <c r="H115" i="5"/>
  <c r="D102" i="5"/>
  <c r="H102" i="5"/>
  <c r="E102" i="5"/>
  <c r="B102" i="5"/>
  <c r="F102" i="5"/>
  <c r="C102" i="5"/>
  <c r="G102" i="5"/>
  <c r="C101" i="5"/>
  <c r="I101" i="5" s="1"/>
  <c r="J101" i="5" s="1"/>
  <c r="K101" i="5" s="1"/>
  <c r="G101" i="5"/>
  <c r="D101" i="5"/>
  <c r="H101" i="5"/>
  <c r="E101" i="5"/>
  <c r="B101" i="5"/>
  <c r="F101" i="5"/>
  <c r="B112" i="5"/>
  <c r="F112" i="5"/>
  <c r="C112" i="5"/>
  <c r="G112" i="5"/>
  <c r="D112" i="5"/>
  <c r="H112" i="5"/>
  <c r="E112" i="5"/>
  <c r="C105" i="5"/>
  <c r="G105" i="5"/>
  <c r="D105" i="5"/>
  <c r="H105" i="5"/>
  <c r="E105" i="5"/>
  <c r="B105" i="5"/>
  <c r="F105" i="5"/>
  <c r="E99" i="5"/>
  <c r="B99" i="5"/>
  <c r="F99" i="5"/>
  <c r="C99" i="5"/>
  <c r="G99" i="5"/>
  <c r="D99" i="5"/>
  <c r="H99" i="5"/>
  <c r="B116" i="5"/>
  <c r="F116" i="5"/>
  <c r="C116" i="5"/>
  <c r="G116" i="5"/>
  <c r="D116" i="5"/>
  <c r="H116" i="5"/>
  <c r="E116" i="5"/>
  <c r="D106" i="5"/>
  <c r="H106" i="5"/>
  <c r="E106" i="5"/>
  <c r="B106" i="5"/>
  <c r="F106" i="5"/>
  <c r="C106" i="5"/>
  <c r="G106" i="5"/>
  <c r="B92" i="5"/>
  <c r="D89" i="5"/>
  <c r="D85" i="5"/>
  <c r="D81" i="5"/>
  <c r="D77" i="5"/>
  <c r="D73" i="5"/>
  <c r="D88" i="5"/>
  <c r="D87" i="5"/>
  <c r="D86" i="5"/>
  <c r="D72" i="5"/>
  <c r="D80" i="5"/>
  <c r="D79" i="5"/>
  <c r="D78" i="5"/>
  <c r="D91" i="5"/>
  <c r="D90" i="5"/>
  <c r="D76" i="5"/>
  <c r="D75" i="5"/>
  <c r="D74" i="5"/>
  <c r="D83" i="5"/>
  <c r="D82" i="5"/>
  <c r="D84" i="5"/>
  <c r="E92" i="5"/>
  <c r="F72" i="5"/>
  <c r="E29" i="5"/>
  <c r="D22" i="5"/>
  <c r="E28" i="5"/>
  <c r="D21" i="5"/>
  <c r="I113" i="5"/>
  <c r="J113" i="5" s="1"/>
  <c r="K113" i="5" s="1"/>
  <c r="C92" i="5"/>
  <c r="I112" i="5"/>
  <c r="J112" i="5" s="1"/>
  <c r="K112" i="5" s="1"/>
  <c r="D13" i="4"/>
  <c r="E98" i="5" l="1"/>
  <c r="B98" i="5"/>
  <c r="F98" i="5"/>
  <c r="C98" i="5"/>
  <c r="C118" i="5" s="1"/>
  <c r="G98" i="5"/>
  <c r="D98" i="5"/>
  <c r="H98" i="5"/>
  <c r="D29" i="5"/>
  <c r="H29" i="5" s="1"/>
  <c r="H22" i="5"/>
  <c r="I22" i="5" s="1"/>
  <c r="I102" i="5"/>
  <c r="J102" i="5" s="1"/>
  <c r="K102" i="5" s="1"/>
  <c r="E118" i="5"/>
  <c r="G118" i="5"/>
  <c r="F92" i="5"/>
  <c r="D118" i="5"/>
  <c r="F118" i="5"/>
  <c r="H118" i="5"/>
  <c r="I107" i="5"/>
  <c r="J107" i="5" s="1"/>
  <c r="K107" i="5" s="1"/>
  <c r="I116" i="5"/>
  <c r="J116" i="5" s="1"/>
  <c r="K116" i="5" s="1"/>
  <c r="I99" i="5"/>
  <c r="J99" i="5" s="1"/>
  <c r="K99" i="5" s="1"/>
  <c r="B122" i="5"/>
  <c r="C93" i="5"/>
  <c r="C94" i="5" s="1"/>
  <c r="I108" i="5"/>
  <c r="J108" i="5" s="1"/>
  <c r="K108" i="5" s="1"/>
  <c r="D28" i="5"/>
  <c r="H28" i="5" s="1"/>
  <c r="H21" i="5"/>
  <c r="I21" i="5" s="1"/>
  <c r="I115" i="5"/>
  <c r="J115" i="5" s="1"/>
  <c r="K115" i="5" s="1"/>
  <c r="D92" i="5"/>
  <c r="I105" i="5"/>
  <c r="J105" i="5" s="1"/>
  <c r="K105" i="5" s="1"/>
  <c r="I106" i="5"/>
  <c r="J106" i="5" s="1"/>
  <c r="K106" i="5" s="1"/>
  <c r="I114" i="5"/>
  <c r="J114" i="5" s="1"/>
  <c r="K114" i="5" s="1"/>
  <c r="I111" i="5"/>
  <c r="J111" i="5" s="1"/>
  <c r="K111" i="5" s="1"/>
  <c r="I103" i="5"/>
  <c r="J103" i="5" s="1"/>
  <c r="K103" i="5" s="1"/>
  <c r="I117" i="5"/>
  <c r="J117" i="5" s="1"/>
  <c r="K117" i="5" s="1"/>
  <c r="D11" i="4"/>
  <c r="D16" i="4"/>
  <c r="C16" i="4"/>
  <c r="E15" i="4"/>
  <c r="D15" i="4"/>
  <c r="C15" i="4"/>
  <c r="K118" i="5" l="1"/>
  <c r="I98" i="5"/>
  <c r="J98" i="5" s="1"/>
  <c r="K98" i="5" s="1"/>
  <c r="B118" i="5"/>
  <c r="E10" i="4"/>
  <c r="I118" i="5" l="1"/>
  <c r="D10" i="4"/>
  <c r="J118" i="5" l="1"/>
  <c r="E11" i="4"/>
  <c r="E12" i="4"/>
  <c r="E13" i="4"/>
  <c r="E14" i="4"/>
  <c r="E16" i="4"/>
  <c r="D12" i="4"/>
  <c r="C12" i="4"/>
  <c r="D14" i="4"/>
  <c r="C14" i="4"/>
</calcChain>
</file>

<file path=xl/sharedStrings.xml><?xml version="1.0" encoding="utf-8"?>
<sst xmlns="http://schemas.openxmlformats.org/spreadsheetml/2006/main" count="455" uniqueCount="319">
  <si>
    <t>Estimate of current trips and flows in vicinity of proposed cycle network improvements</t>
  </si>
  <si>
    <t>O-D flow data was downloaded from the www.pct.bike website, which is based on 2011 Census Travel To Work Data</t>
  </si>
  <si>
    <t>Major trip flows derived from Census TTW O-D data (via PCT)</t>
  </si>
  <si>
    <t>Passing Boots EZ campus in Nottingham</t>
  </si>
  <si>
    <t>Spondon former canal towpath</t>
  </si>
  <si>
    <t>Spondon megaloughton lane - Raynesway</t>
  </si>
  <si>
    <t>Between Zone Cyclists (Baseline)</t>
  </si>
  <si>
    <t>Between Zone Cyclists (Government Target)</t>
  </si>
  <si>
    <t>Derived using MSOA Geography, Government Target Scenario, Route Network cycle flows, and 90% of network shown in the PCT tool for each location</t>
  </si>
  <si>
    <t>Celanese Road / Megaloughton Lane, Spondon</t>
  </si>
  <si>
    <t>Nottingham Road, Spondon (assumes cyclists divert to towpath)</t>
  </si>
  <si>
    <t>Big Track close to Boots Enterprize Zone</t>
  </si>
  <si>
    <t>PCT route description</t>
  </si>
  <si>
    <t>From Nottingham City Centre along N1 Route</t>
  </si>
  <si>
    <t>Sheriffs Way to Carrington Street link</t>
  </si>
  <si>
    <t>Clifton Lane (A453/B679)</t>
  </si>
  <si>
    <t>From Silverdale towards city centre/Boots EZ</t>
  </si>
  <si>
    <t>From Clifton housing growth area towards city centre/Boots EZ</t>
  </si>
  <si>
    <t>Nottingham Road, by Tram P&amp;R</t>
  </si>
  <si>
    <t>Total numbers of cyclists using routes with interventions</t>
  </si>
  <si>
    <t>Between Zone Cyclists (50% Sensitivity Test)</t>
  </si>
  <si>
    <t>Half of the Government Target impacts, reflecting the targeted and relatively small-scale nature of the improvements.</t>
  </si>
  <si>
    <t>Baseline number of trips inferred from PCT tool by selecting routes closest to the intervention locations.</t>
  </si>
  <si>
    <t>Government Target (100% increase in cycle trips by 2025) with trip numbers derived from the PCT tool in relation to the same links as for the baseline.</t>
  </si>
  <si>
    <t>With and Without Scheme Cycle Trips (derived from PCT and local cycle count data)</t>
  </si>
  <si>
    <t>Big Track canal towpath</t>
  </si>
  <si>
    <t>Big Track near QMC &amp; canal towpath near Castle Marina / A60</t>
  </si>
  <si>
    <t>Daily trips</t>
  </si>
  <si>
    <t>eBike hire scheme</t>
  </si>
  <si>
    <t>Focused on Derby-Nottingham-EMA growth corridors</t>
  </si>
  <si>
    <t>Source</t>
  </si>
  <si>
    <t>Propensity to Cycle Tool, from nearest link to junction</t>
  </si>
  <si>
    <t>Nottingham Clifton tram path cycle counter</t>
  </si>
  <si>
    <t>Nearest relevant links in Propensity to Cycle Tool</t>
  </si>
  <si>
    <t>Estimates from relevant links in Propensity to Cycle Tool, previously used to secure LGF funds for cycle bridge close to Boots EZ</t>
  </si>
  <si>
    <t>Nearest relevant links in Propensity to Cycle Tool, uplifted by 20% on anecdotal edvice from Derby CC Officer</t>
  </si>
  <si>
    <t>E-bike hire scheme - Nottingham introduction and Derby expansion</t>
  </si>
  <si>
    <t>Proportion of adults that cycle, by frequency, purpose and local authority, England, 2016-2017</t>
  </si>
  <si>
    <t xml:space="preserve"> </t>
  </si>
  <si>
    <t xml:space="preserve">Source: </t>
  </si>
  <si>
    <t>Walking and Cycling Statistics (https://www.gov.uk/government/collections/walking-and-cycling-statistics)</t>
  </si>
  <si>
    <t>DfT Table CW0302</t>
  </si>
  <si>
    <t>Any cycling</t>
  </si>
  <si>
    <t>LA code</t>
  </si>
  <si>
    <r>
      <t>Local Authority</t>
    </r>
    <r>
      <rPr>
        <b/>
        <vertAlign val="superscript"/>
        <sz val="10"/>
        <color rgb="FF000000"/>
        <rFont val="Arial"/>
        <family val="2"/>
      </rPr>
      <t>4</t>
    </r>
  </si>
  <si>
    <t>At least:</t>
  </si>
  <si>
    <t>Once per month</t>
  </si>
  <si>
    <t>Once per week</t>
  </si>
  <si>
    <t>Three times per week</t>
  </si>
  <si>
    <t>Five times per week</t>
  </si>
  <si>
    <t>E06000015</t>
  </si>
  <si>
    <t>Derby</t>
  </si>
  <si>
    <t>E06000018</t>
  </si>
  <si>
    <t>Nottingham</t>
  </si>
  <si>
    <t>Combined with population data from ONS mid-year estimates (2017)</t>
  </si>
  <si>
    <t>https://www.ons.gov.uk/peoplepopulationandcommunity/populationandmigration/populationestimates/datasets/populationestimatesforukenglandandwalesscotlandandnorthernireland</t>
  </si>
  <si>
    <t>Population</t>
  </si>
  <si>
    <t>With overlaps between cycling groups netted out</t>
  </si>
  <si>
    <t>Estimated numbers of people cycling in each city</t>
  </si>
  <si>
    <t>Total unique people</t>
  </si>
  <si>
    <t>Population not cycling at all</t>
  </si>
  <si>
    <t>Estimated number of person trips per annum</t>
  </si>
  <si>
    <t>Estimated annual cycling trips in each city</t>
  </si>
  <si>
    <t>Est annual cycling trips</t>
  </si>
  <si>
    <t>Key findings from COMO Shared Electric Bike Programme Final Report (2016)</t>
  </si>
  <si>
    <t>https://como.org.uk/wp-content/uploads/2018/05/Shared-Electric-Bike-Programme-Final-Report.pdf</t>
  </si>
  <si>
    <t>of shared e-bike users rarely or never cycled before they started using e-bikes</t>
  </si>
  <si>
    <t>of e-bike users previously struggled to use a regular bike for fitness/health reasons</t>
  </si>
  <si>
    <t>of e-bike users reported reduced journey times as a benefit of shared e-bike use</t>
  </si>
  <si>
    <t>of e-bike users replaced trips as car drivers/passengers/taxi users with e-bike trips</t>
  </si>
  <si>
    <t>valued the e-bike as a tool to reduce their car travel</t>
  </si>
  <si>
    <t>used an e-bike for commuting as their main trip purpose</t>
  </si>
  <si>
    <t>used an e-bike for business trips as their main trip purpose</t>
  </si>
  <si>
    <t>Average trip lengths</t>
  </si>
  <si>
    <t>KM = average shared e-bike trip length</t>
  </si>
  <si>
    <t>Km = national average cycle trip length</t>
  </si>
  <si>
    <t>Average members / hires / utilisation / e-bikes per scheme</t>
  </si>
  <si>
    <t>Page 69 in the COMO report cited above</t>
  </si>
  <si>
    <t>Members/users</t>
  </si>
  <si>
    <t>Hires/journeys</t>
  </si>
  <si>
    <t>No of e-bikes</t>
  </si>
  <si>
    <t>Average number of hires per e-bike</t>
  </si>
  <si>
    <t>Average hire duration (mins)</t>
  </si>
  <si>
    <t>Average members / users per ebike</t>
  </si>
  <si>
    <t>Within 10 months of launch</t>
  </si>
  <si>
    <t>Factored to 12 months</t>
  </si>
  <si>
    <t>e-bike hire scheme variables in Nottingham and Derby</t>
  </si>
  <si>
    <t>Existing number of bikes</t>
  </si>
  <si>
    <t>Expanded scheme</t>
  </si>
  <si>
    <t>Additional e-bikes</t>
  </si>
  <si>
    <t>Estimated annualised activity impacts of e-bike hire scheme interventions in Derby and Nottingham</t>
  </si>
  <si>
    <t>Additional users/members</t>
  </si>
  <si>
    <t>New cyclists</t>
  </si>
  <si>
    <t>Additional hires</t>
  </si>
  <si>
    <t>Additional KM cycled</t>
  </si>
  <si>
    <t>Reduction in car trips</t>
  </si>
  <si>
    <t>Total</t>
  </si>
  <si>
    <t>Estimated scale-up of activity</t>
  </si>
  <si>
    <t>Year 1 (2019)</t>
  </si>
  <si>
    <t>Year 2 (2020)</t>
  </si>
  <si>
    <t>Year 3 (2021)</t>
  </si>
  <si>
    <t>Year 4 onwards</t>
  </si>
  <si>
    <t>Estimated change in travel patterns</t>
  </si>
  <si>
    <t>Appraisal Year</t>
  </si>
  <si>
    <t>Additional cyclists</t>
  </si>
  <si>
    <t>Additional cycle trips</t>
  </si>
  <si>
    <t>Reduced car trips</t>
  </si>
  <si>
    <t>Reduced car KM travelled</t>
  </si>
  <si>
    <t>Totals</t>
  </si>
  <si>
    <t>WebTAG Marginal External Benefits</t>
  </si>
  <si>
    <t>Nominal Prices</t>
  </si>
  <si>
    <t>Real Prices</t>
  </si>
  <si>
    <t>Discounted at 3.5% per annum</t>
  </si>
  <si>
    <t>Net Present Benefits in real 2010 prices</t>
  </si>
  <si>
    <t>Health benefits (from Active Mode Appraisal Toolkit)</t>
  </si>
  <si>
    <t>Additional cycle trips per day</t>
  </si>
  <si>
    <t>Reduced risk of premature death</t>
  </si>
  <si>
    <t>Absenteeism</t>
  </si>
  <si>
    <t>Total health benefits</t>
  </si>
  <si>
    <t>Bus trips in Nottingham</t>
  </si>
  <si>
    <t>Market share of Nottingham trips (Robin Hood card) within Gtr Nottm Boundary/RH card zone</t>
  </si>
  <si>
    <t>NCT</t>
  </si>
  <si>
    <t>NCT market share of all RH bus trips</t>
  </si>
  <si>
    <t>NET Tram</t>
  </si>
  <si>
    <t>Source: Robin Hood card season ticket and day ticket trips (split of market)]</t>
  </si>
  <si>
    <t>All other bus operators</t>
  </si>
  <si>
    <t>Total annual bus + tram trips in Nottingham RH zone</t>
  </si>
  <si>
    <t>2017/18 estimated based on Greater Nottingham total bus+tram ticket sales</t>
  </si>
  <si>
    <t>Total annual tram trips in Nottingham RH zone</t>
  </si>
  <si>
    <t>2017/18 estimated by deducting bus trips from tram trips</t>
  </si>
  <si>
    <t>Total annual bus trips in Nottingham RH zone</t>
  </si>
  <si>
    <t>2017/18 estimated based on Greater Nottingham total bus ticket sales</t>
  </si>
  <si>
    <t>Estimate of total for RH zone</t>
  </si>
  <si>
    <t>50% of DfT Notts bus stats + 100% of DfT Nottingham bus stats</t>
  </si>
  <si>
    <t>DfT Bus passengers (Nottingham)</t>
  </si>
  <si>
    <t>DfT Bus Stats Spreadsheet 0109, 2016/17</t>
  </si>
  <si>
    <t>DfT Bus passengers (Nottinghamshire)</t>
  </si>
  <si>
    <t>Average bus trip estimate (Avg of RH + DfT data)</t>
  </si>
  <si>
    <t>DfT Bus passengers (Derby)</t>
  </si>
  <si>
    <t>DfT Bus passengers (Derbyshire)</t>
  </si>
  <si>
    <t>Bus trips involving cash transactions</t>
  </si>
  <si>
    <t>Estimated based on Robin Hood card transaction data</t>
  </si>
  <si>
    <t>Total non RH cash transactions on all buses</t>
  </si>
  <si>
    <t>Estimated based on local bus operator data from Robin Hood partnership</t>
  </si>
  <si>
    <t>RH Paper Day ticket sales</t>
  </si>
  <si>
    <t>From 2017/18 RH data</t>
  </si>
  <si>
    <t>Tickets sold in 11 months</t>
  </si>
  <si>
    <t>Grand total cash transactions on buses in RH zone</t>
  </si>
  <si>
    <t>Calculated by adding Cell B15 and B16</t>
  </si>
  <si>
    <t>Impact of RH card implementation in Gtr Nottingham</t>
  </si>
  <si>
    <t>Estimated additional trips in year 1, resulting from RH card implementation</t>
  </si>
  <si>
    <t>Boarding time saving</t>
  </si>
  <si>
    <t>DfT's Smart and Integrated Ticketing Strategy</t>
  </si>
  <si>
    <t>http://webarchive.nationalarchives.gov.uk/+/http:/www.dft.gov.uk/pgr/regional/smart-integrated-ticketing/pdf/smart-ticketing.pdf</t>
  </si>
  <si>
    <t xml:space="preserve">seconds minimum </t>
  </si>
  <si>
    <t>seconds maximum</t>
  </si>
  <si>
    <t>average secs boarding time saving of contactless payment relative to cash fares</t>
  </si>
  <si>
    <t>Reduction in cash transactions</t>
  </si>
  <si>
    <t>TfL evidence from Oyster in DfT's Smart and Integrated Ticketing Strategy</t>
  </si>
  <si>
    <t>% of bus journeys involved cash transactions prior to introduction of Oyster</t>
  </si>
  <si>
    <t>% following the introduction of Oyster</t>
  </si>
  <si>
    <t>% reduction in trips involving cash transactions</t>
  </si>
  <si>
    <t>Average bus occupancy figures</t>
  </si>
  <si>
    <t>DfT Bus0304 table</t>
  </si>
  <si>
    <t>https://www.gov.uk/government/uploads/system/uploads/attachment_data/file/560588/bus0304.ods</t>
  </si>
  <si>
    <t>passengers per bus in English met areas</t>
  </si>
  <si>
    <t>2016/17 data from DfT BUS 0304</t>
  </si>
  <si>
    <t>Nottingham bus operator cash handling costs</t>
  </si>
  <si>
    <t>per annum</t>
  </si>
  <si>
    <t xml:space="preserve">NCT total cost of replacing vaults, counting and handling cash </t>
  </si>
  <si>
    <t>Factored to all bus operators based on NCT market share for Robin Hood tickets</t>
  </si>
  <si>
    <t>Estimated rate of conversion to off-bus ticket purchase/ RH PAYG TVM purchasing / Smartphone purchase</t>
  </si>
  <si>
    <t>Resulting from progressive switch to payment via smartphones and other devices</t>
  </si>
  <si>
    <t>Year 3 (2021) onwards</t>
  </si>
  <si>
    <t>Assumes cashless bus/tram network enables cash fare purchase off-bus, maximising dwell-time savings to operators and passengers</t>
  </si>
  <si>
    <t>Average bus operating speed in Nottingham</t>
  </si>
  <si>
    <t>km/hr</t>
  </si>
  <si>
    <t>Calculated for the Nottingham Better Bus Areas report</t>
  </si>
  <si>
    <t>Average car speed in Nottingham</t>
  </si>
  <si>
    <t>Nottinghamshire Local Transport Plan Evidence Base Report  2011</t>
  </si>
  <si>
    <t>Average operating cost value per bus vehicle kilometre travelled</t>
  </si>
  <si>
    <t>per km at 2016/17 prices</t>
  </si>
  <si>
    <t>English non-metropolitan authorities in DFT Bus Statistics Table BUS0408a</t>
  </si>
  <si>
    <t>per km at 2010 prices</t>
  </si>
  <si>
    <t>Factored to 2010 prices using GDP inflator</t>
  </si>
  <si>
    <t>Robin Hood Card Ticket Vending Machine Data</t>
  </si>
  <si>
    <t>Top-ups to existing RH PAYG cards at ticket vending machines in 12 months from 12/06/16 to 10/06/17</t>
  </si>
  <si>
    <t>RH Card data maintained by ITP on behalf of NCC and Operators</t>
  </si>
  <si>
    <t>Average no of RH cards in circulation between 12/06/16 and 11/06/2017</t>
  </si>
  <si>
    <t>Average RH PAYG card top-ups at ticket vending machines in latest 12 month period</t>
  </si>
  <si>
    <t>Average Trip Length (2017 NTS, converted from miles)</t>
  </si>
  <si>
    <t>Miles</t>
  </si>
  <si>
    <t>KM</t>
  </si>
  <si>
    <t>Mile to Km conversion factor</t>
  </si>
  <si>
    <t>Car driver</t>
  </si>
  <si>
    <t>NTS0303 - Average trip length by main mode 2002 to 2017</t>
  </si>
  <si>
    <t>Bike</t>
  </si>
  <si>
    <t>Walk</t>
  </si>
  <si>
    <t>Bus</t>
  </si>
  <si>
    <t>Local average for Greater Nottingham, derived from Better Bus Areas project data</t>
  </si>
  <si>
    <t>Train</t>
  </si>
  <si>
    <t>Tram</t>
  </si>
  <si>
    <t>LRT0107 - Average length of journey on light rail and trams by system in England</t>
  </si>
  <si>
    <t>Value of time per bus passenger</t>
  </si>
  <si>
    <t>WebTAG Data Book, Sheet A1.3.2</t>
  </si>
  <si>
    <t>Resource cost values £ per hour (2010 prices)</t>
  </si>
  <si>
    <t>values</t>
  </si>
  <si>
    <t>Value of time per (average car)</t>
  </si>
  <si>
    <t>Resource cost values pence per minute (2010 prices)</t>
  </si>
  <si>
    <t>AM Peak (7am- 10am)</t>
  </si>
  <si>
    <t>PM Peak (4pm- 7pm)</t>
  </si>
  <si>
    <t>Average AM + PM Peak</t>
  </si>
  <si>
    <t>Discount rate applied</t>
  </si>
  <si>
    <t>HM Treasury Green Book guidance for 0-30 years</t>
  </si>
  <si>
    <t>Applied for 20 years</t>
  </si>
  <si>
    <t>First scheme year value</t>
  </si>
  <si>
    <t>of 2019 values</t>
  </si>
  <si>
    <t>of 2020 values</t>
  </si>
  <si>
    <t>GDP Deflator</t>
  </si>
  <si>
    <t>WebTAG Data Book, Annual Parameters</t>
  </si>
  <si>
    <t>WebTAG Table A 1.3.8</t>
  </si>
  <si>
    <t>Fuel / Energy consumption parameters</t>
  </si>
  <si>
    <t>Table A 1.3.8:</t>
  </si>
  <si>
    <t>Fuel consumption parameter values</t>
  </si>
  <si>
    <t>Parameters</t>
  </si>
  <si>
    <t>Vehicle Category</t>
  </si>
  <si>
    <t>a</t>
  </si>
  <si>
    <t>b</t>
  </si>
  <si>
    <t>c</t>
  </si>
  <si>
    <t>d</t>
  </si>
  <si>
    <t>Petrol Car</t>
  </si>
  <si>
    <t>Diesel Car</t>
  </si>
  <si>
    <t>Average Car**</t>
  </si>
  <si>
    <t>** calculated by averaging petrol and diesel.  Assumes a 50:50 split in the fleet</t>
  </si>
  <si>
    <t>Petrol LGV</t>
  </si>
  <si>
    <t>informed by http://naei.defra.gov.uk/data/ef-transport which suggests 51:49</t>
  </si>
  <si>
    <t>Diesel LGV</t>
  </si>
  <si>
    <t>split in favour of diesel vehicles</t>
  </si>
  <si>
    <t>OGV1</t>
  </si>
  <si>
    <t>OGV2</t>
  </si>
  <si>
    <t>PSV</t>
  </si>
  <si>
    <t>WebTAG Table A 3.3:  Carbon dioxide emissions per litre of fuel burnt / kWh used</t>
  </si>
  <si>
    <t>Petrol</t>
  </si>
  <si>
    <t>Diesel</t>
  </si>
  <si>
    <t>Average</t>
  </si>
  <si>
    <t>Gas Oil</t>
  </si>
  <si>
    <t>Electricity</t>
  </si>
  <si>
    <t>Rail Diesel</t>
  </si>
  <si>
    <t>Roads</t>
  </si>
  <si>
    <t>Rail</t>
  </si>
  <si>
    <t>Year</t>
  </si>
  <si>
    <t>Kg CO2e/l</t>
  </si>
  <si>
    <t>Kg CO2e/kWh</t>
  </si>
  <si>
    <t>WebTAG Table A 3.4: Non Traded Values, £ per Tonne of CO2e (2010 prices)</t>
  </si>
  <si>
    <t>Low</t>
  </si>
  <si>
    <t>Central</t>
  </si>
  <si>
    <t>High </t>
  </si>
  <si>
    <t>WebTAG Table A 5.4.2: Marginal External Costs by road type and congestion band</t>
  </si>
  <si>
    <t>Pence per Km (2010 prices)</t>
  </si>
  <si>
    <t>Congestion average (inner and outer conurbation A roads)</t>
  </si>
  <si>
    <t>Infrastructure</t>
  </si>
  <si>
    <t>Accident</t>
  </si>
  <si>
    <t>Local Air Quality</t>
  </si>
  <si>
    <t>Noise</t>
  </si>
  <si>
    <t>Greenhouse Gases</t>
  </si>
  <si>
    <t>** WebTAG data book values replaced with non-traded valuation of CO2e</t>
  </si>
  <si>
    <t>Indirect Taxation</t>
  </si>
  <si>
    <t>Decongestion benefits (appraisal period)</t>
  </si>
  <si>
    <t>Congestion</t>
  </si>
  <si>
    <t>SCOOT benefits</t>
  </si>
  <si>
    <t>http://www.its.leeds.ac.uk/projects/konsult/private/level2/instruments/instrument014/l2_014c.htm</t>
  </si>
  <si>
    <t>Location</t>
  </si>
  <si>
    <t> </t>
  </si>
  <si>
    <t>Previous Control</t>
  </si>
  <si>
    <t>% Reduction in journey time</t>
  </si>
  <si>
    <t>% Reduction in delay</t>
  </si>
  <si>
    <t>AM Peak</t>
  </si>
  <si>
    <t>Off Peak</t>
  </si>
  <si>
    <t>PM Peak</t>
  </si>
  <si>
    <t>Glasgow</t>
  </si>
  <si>
    <t>Fixed-time</t>
  </si>
  <si>
    <t>Coventry</t>
  </si>
  <si>
    <t>Foleshill</t>
  </si>
  <si>
    <t>Spon End</t>
  </si>
  <si>
    <t>Worcester (1986)</t>
  </si>
  <si>
    <t>Isolated V-A*</t>
  </si>
  <si>
    <t>Southampton (1984,5)</t>
  </si>
  <si>
    <t>London</t>
  </si>
  <si>
    <t>Average 8% cars, 6% buses</t>
  </si>
  <si>
    <t>Average 19%</t>
  </si>
  <si>
    <t>Average across all locations</t>
  </si>
  <si>
    <t>PM peak</t>
  </si>
  <si>
    <t>% reduction in delay</t>
  </si>
  <si>
    <t>Bus priority measures impact</t>
  </si>
  <si>
    <t>https://trl.co.uk/sites/default/files/TRL409.pdf</t>
  </si>
  <si>
    <t>Tempro traffic growth forecast (Tempro v7.2, East Midlands NTEM dataset published 28/2/2017)</t>
  </si>
  <si>
    <t>TEMPRO data for Nottingham, average weekday, 2019 - 2038</t>
  </si>
  <si>
    <t>Car passenger and driver combined</t>
  </si>
  <si>
    <t>Traffic growth for 5 year period (relative to 2017 AADT baseline)</t>
  </si>
  <si>
    <t>Production</t>
  </si>
  <si>
    <t>Attraction</t>
  </si>
  <si>
    <t>Average increase</t>
  </si>
  <si>
    <t>AM peak period 2017-2019</t>
  </si>
  <si>
    <t>AM peak period 2020-2024</t>
  </si>
  <si>
    <t>AM peak period 2025-2029</t>
  </si>
  <si>
    <t>AM peak period 2030-2034</t>
  </si>
  <si>
    <t>AM peak period 2035-2039</t>
  </si>
  <si>
    <t>PM peak period 2017-2019</t>
  </si>
  <si>
    <t>PM peak period 2020-2024</t>
  </si>
  <si>
    <t>PM peak period 2025-2029</t>
  </si>
  <si>
    <t>PM peak period 2030-2034</t>
  </si>
  <si>
    <t>PM peak period 2035-2039</t>
  </si>
  <si>
    <t>AM &amp; PM peak period combined 2017-2019</t>
  </si>
  <si>
    <t>AM &amp; PM peak period combined 2020-2024</t>
  </si>
  <si>
    <t>AM &amp; PM peak period combined 2025-2029</t>
  </si>
  <si>
    <t>AM &amp; PM peak period combined 2029-2034</t>
  </si>
  <si>
    <t>AM &amp; PM peak period combined 2035-2039</t>
  </si>
  <si>
    <t>Traffic growth factors applied to baseline AADT AM and PM peak flows</t>
  </si>
  <si>
    <t>Estimates of eBike hire uptake and usage from 'eBike hire scheme calcs'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</si>
</sst>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&quot;£&quot;#,##0;[Red]\-&quot;£&quot;#,##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_(* #,##0.00_);_(* \(#,##0.00\);_(* &quot;-&quot;??_);_(@_)"/>
    <numFmt numFmtId="166" formatCode="_-[$€-2]* #,##0.00_-;\-[$€-2]* #,##0.00_-;_-[$€-2]* &quot;-&quot;??_-"/>
    <numFmt numFmtId="167" formatCode="[&gt;0.5]#,##0;[&lt;-0.5]\-#,##0;\-"/>
    <numFmt numFmtId="168" formatCode="_-* #,##0\ _F_-;\-* #,##0\ _F_-;_-* &quot;-&quot;\ _F_-;_-@_-"/>
    <numFmt numFmtId="169" formatCode="_-* #,##0.00\ _F_-;\-* #,##0.00\ _F_-;_-* &quot;-&quot;??\ _F_-;_-@_-"/>
    <numFmt numFmtId="170" formatCode="_-* #,##0\ &quot;F&quot;_-;\-* #,##0\ &quot;F&quot;_-;_-* &quot;-&quot;\ &quot;F&quot;_-;_-@_-"/>
    <numFmt numFmtId="171" formatCode="_-* #,##0.00\ &quot;F&quot;_-;\-* #,##0.00\ &quot;F&quot;_-;_-* &quot;-&quot;??\ &quot;F&quot;_-;_-@_-"/>
    <numFmt numFmtId="172" formatCode="###.0"/>
    <numFmt numFmtId="173" formatCode="##.0"/>
    <numFmt numFmtId="174" formatCode="#,###,##0"/>
    <numFmt numFmtId="175" formatCode="_-&quot;öS&quot;\ * #,##0_-;\-&quot;öS&quot;\ * #,##0_-;_-&quot;öS&quot;\ * &quot;-&quot;_-;_-@_-"/>
    <numFmt numFmtId="176" formatCode="_-&quot;öS&quot;\ * #,##0.00_-;\-&quot;öS&quot;\ * #,##0.00_-;_-&quot;öS&quot;\ * &quot;-&quot;??_-;_-@_-"/>
    <numFmt numFmtId="177" formatCode="_-* #,##0_-;\-* #,##0_-;_-* &quot;-&quot;??_-;_-@_-"/>
    <numFmt numFmtId="178" formatCode="&quot; &quot;#,##0.00&quot; &quot;;&quot;-&quot;#,##0.00&quot; &quot;;&quot; -&quot;00&quot; &quot;;&quot; &quot;@&quot; &quot;"/>
    <numFmt numFmtId="179" formatCode="0.0"/>
    <numFmt numFmtId="180" formatCode="&quot;£&quot;#,##0"/>
    <numFmt numFmtId="181" formatCode="0.0%"/>
    <numFmt numFmtId="182" formatCode="&quot;£&quot;#,##0.00"/>
    <numFmt numFmtId="183" formatCode="_-[$£-809]* #,##0.00_-;\-[$£-809]* #,##0.00_-;_-[$£-809]* &quot;-&quot;??_-;_-@_-"/>
    <numFmt numFmtId="184" formatCode="0.00000"/>
    <numFmt numFmtId="185" formatCode="0.000000"/>
    <numFmt numFmtId="186" formatCode="0.0000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Helv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8"/>
      <name val="Arial"/>
      <family val="2"/>
    </font>
    <font>
      <i/>
      <sz val="12"/>
      <name val="Times New Roman"/>
      <family val="1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8"/>
      <name val="Arial"/>
      <family val="2"/>
    </font>
    <font>
      <sz val="12"/>
      <color indexed="62"/>
      <name val="Arial"/>
      <family val="2"/>
    </font>
    <font>
      <b/>
      <sz val="13"/>
      <color indexed="56"/>
      <name val="Arial"/>
      <family val="2"/>
    </font>
    <font>
      <sz val="12"/>
      <color indexed="8"/>
      <name val="Arial"/>
      <family val="2"/>
    </font>
    <font>
      <i/>
      <sz val="12"/>
      <color indexed="23"/>
      <name val="Arial"/>
      <family val="2"/>
    </font>
    <font>
      <sz val="14"/>
      <name val="Arial"/>
      <family val="2"/>
    </font>
    <font>
      <b/>
      <sz val="14"/>
      <name val="Helv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9"/>
      <name val="Arial"/>
      <family val="2"/>
    </font>
    <font>
      <sz val="9"/>
      <name val="Times New Roman"/>
      <family val="1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sz val="12"/>
      <color indexed="9"/>
      <name val="Arial"/>
      <family val="2"/>
    </font>
    <font>
      <sz val="10"/>
      <name val="Arial Cyr"/>
      <charset val="204"/>
    </font>
    <font>
      <sz val="12"/>
      <color indexed="52"/>
      <name val="Arial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rgb="FF333333"/>
      <name val="Verdana"/>
      <family val="2"/>
    </font>
    <font>
      <sz val="9"/>
      <color rgb="FF333333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" fillId="0" borderId="0" applyFont="0" applyFill="0" applyBorder="0" applyAlignment="0" applyProtection="0">
      <alignment horizontal="left"/>
    </xf>
    <xf numFmtId="4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1" fillId="4" borderId="0" applyNumberFormat="0" applyBorder="0" applyAlignment="0" applyProtection="0"/>
    <xf numFmtId="175" fontId="37" fillId="0" borderId="0" applyFont="0" applyFill="0" applyBorder="0" applyAlignment="0" applyProtection="0"/>
    <xf numFmtId="0" fontId="3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 horizontal="left"/>
    </xf>
    <xf numFmtId="0" fontId="26" fillId="8" borderId="0" applyNumberFormat="0" applyBorder="0" applyAlignment="0" applyProtection="0"/>
    <xf numFmtId="0" fontId="2" fillId="0" borderId="0"/>
    <xf numFmtId="0" fontId="21" fillId="0" borderId="0">
      <alignment horizontal="left" vertical="top"/>
    </xf>
    <xf numFmtId="0" fontId="18" fillId="9" borderId="0" applyNumberFormat="0" applyBorder="0" applyAlignment="0" applyProtection="0"/>
    <xf numFmtId="0" fontId="38" fillId="0" borderId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2" fillId="0" borderId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164" fontId="3" fillId="0" borderId="0" applyFont="0" applyFill="0" applyBorder="0" applyAlignment="0" applyProtection="0">
      <alignment horizontal="left"/>
    </xf>
    <xf numFmtId="0" fontId="2" fillId="0" borderId="0"/>
    <xf numFmtId="0" fontId="3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2" fillId="11" borderId="0" applyNumberFormat="0" applyBorder="0" applyAlignment="0" applyProtection="0"/>
    <xf numFmtId="0" fontId="2" fillId="0" borderId="0"/>
    <xf numFmtId="49" fontId="3" fillId="0" borderId="0" applyFill="0" applyBorder="0" applyProtection="0">
      <alignment horizontal="left"/>
    </xf>
    <xf numFmtId="0" fontId="38" fillId="0" borderId="0"/>
    <xf numFmtId="0" fontId="3" fillId="0" borderId="0"/>
    <xf numFmtId="9" fontId="3" fillId="0" borderId="0" applyFont="0" applyFill="0" applyBorder="0" applyAlignment="0" applyProtection="0"/>
    <xf numFmtId="0" fontId="38" fillId="0" borderId="0"/>
    <xf numFmtId="0" fontId="31" fillId="5" borderId="0" applyNumberFormat="0" applyBorder="0" applyAlignment="0" applyProtection="0"/>
    <xf numFmtId="0" fontId="38" fillId="0" borderId="0"/>
    <xf numFmtId="0" fontId="18" fillId="11" borderId="0" applyNumberFormat="0" applyBorder="0" applyAlignment="0" applyProtection="0"/>
    <xf numFmtId="0" fontId="27" fillId="17" borderId="5" applyNumberFormat="0" applyAlignment="0" applyProtection="0"/>
    <xf numFmtId="0" fontId="31" fillId="12" borderId="0" applyNumberFormat="0" applyBorder="0" applyAlignment="0" applyProtection="0"/>
    <xf numFmtId="174" fontId="34" fillId="18" borderId="0" applyNumberFormat="0" applyBorder="0">
      <protection locked="0"/>
    </xf>
    <xf numFmtId="0" fontId="31" fillId="6" borderId="0" applyNumberFormat="0" applyBorder="0" applyAlignment="0" applyProtection="0"/>
    <xf numFmtId="42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31" fillId="4" borderId="0" applyNumberFormat="0" applyBorder="0" applyAlignment="0" applyProtection="0"/>
    <xf numFmtId="0" fontId="16" fillId="10" borderId="4" applyNumberFormat="0" applyAlignment="0" applyProtection="0"/>
    <xf numFmtId="0" fontId="18" fillId="10" borderId="0" applyNumberFormat="0" applyBorder="0" applyAlignment="0" applyProtection="0"/>
    <xf numFmtId="0" fontId="17" fillId="0" borderId="6" applyNumberFormat="0" applyFill="0" applyAlignment="0" applyProtection="0"/>
    <xf numFmtId="0" fontId="16" fillId="10" borderId="4" applyNumberFormat="0" applyAlignment="0" applyProtection="0"/>
    <xf numFmtId="0" fontId="10" fillId="0" borderId="0">
      <alignment horizontal="left"/>
    </xf>
    <xf numFmtId="0" fontId="18" fillId="11" borderId="0" applyNumberFormat="0" applyBorder="0" applyAlignment="0" applyProtection="0"/>
    <xf numFmtId="0" fontId="3" fillId="0" borderId="0"/>
    <xf numFmtId="0" fontId="22" fillId="11" borderId="0" applyNumberFormat="0" applyBorder="0" applyAlignment="0" applyProtection="0"/>
    <xf numFmtId="0" fontId="18" fillId="20" borderId="0" applyNumberFormat="0" applyBorder="0" applyAlignment="0" applyProtection="0"/>
    <xf numFmtId="43" fontId="3" fillId="0" borderId="0" applyFont="0" applyFill="0" applyBorder="0" applyAlignment="0" applyProtection="0">
      <alignment wrapText="1"/>
    </xf>
    <xf numFmtId="0" fontId="30" fillId="3" borderId="4" applyNumberFormat="0" applyAlignment="0" applyProtection="0"/>
    <xf numFmtId="4" fontId="24" fillId="0" borderId="3" applyFill="0" applyBorder="0" applyProtection="0">
      <alignment horizontal="right" vertical="center"/>
    </xf>
    <xf numFmtId="0" fontId="36" fillId="0" borderId="7" applyNumberFormat="0" applyFill="0" applyAlignment="0" applyProtection="0"/>
    <xf numFmtId="0" fontId="18" fillId="9" borderId="0" applyNumberFormat="0" applyBorder="0" applyAlignment="0" applyProtection="0"/>
    <xf numFmtId="4" fontId="28" fillId="19" borderId="2">
      <alignment horizontal="right" vertical="center"/>
    </xf>
    <xf numFmtId="0" fontId="2" fillId="0" borderId="0"/>
    <xf numFmtId="164" fontId="3" fillId="0" borderId="0" applyFont="0" applyFill="0" applyBorder="0" applyAlignment="0" applyProtection="0">
      <alignment horizontal="left"/>
    </xf>
    <xf numFmtId="0" fontId="30" fillId="3" borderId="4" applyNumberFormat="0" applyAlignment="0" applyProtection="0"/>
    <xf numFmtId="0" fontId="30" fillId="3" borderId="4" applyNumberFormat="0" applyAlignment="0" applyProtection="0"/>
    <xf numFmtId="0" fontId="30" fillId="3" borderId="4" applyNumberFormat="0" applyAlignment="0" applyProtection="0"/>
    <xf numFmtId="0" fontId="16" fillId="10" borderId="4" applyNumberFormat="0" applyAlignment="0" applyProtection="0"/>
    <xf numFmtId="0" fontId="18" fillId="7" borderId="8" applyNumberFormat="0" applyFont="0" applyAlignment="0" applyProtection="0"/>
    <xf numFmtId="0" fontId="31" fillId="21" borderId="0" applyNumberFormat="0" applyBorder="0" applyAlignment="0" applyProtection="0"/>
    <xf numFmtId="0" fontId="31" fillId="5" borderId="0" applyNumberFormat="0" applyBorder="0" applyAlignment="0" applyProtection="0"/>
    <xf numFmtId="0" fontId="18" fillId="22" borderId="0" applyNumberFormat="0" applyBorder="0" applyAlignment="0" applyProtection="0"/>
    <xf numFmtId="9" fontId="38" fillId="0" borderId="0" applyFont="0" applyFill="0" applyBorder="0" applyAlignment="0" applyProtection="0"/>
    <xf numFmtId="49" fontId="3" fillId="0" borderId="0" applyFill="0" applyBorder="0" applyProtection="0">
      <alignment horizontal="left"/>
    </xf>
    <xf numFmtId="0" fontId="18" fillId="7" borderId="8" applyNumberFormat="0" applyFont="0" applyAlignment="0" applyProtection="0"/>
    <xf numFmtId="0" fontId="23" fillId="3" borderId="9" applyNumberFormat="0" applyAlignment="0" applyProtection="0"/>
    <xf numFmtId="0" fontId="18" fillId="7" borderId="8" applyNumberFormat="0" applyFont="0" applyAlignment="0" applyProtection="0"/>
    <xf numFmtId="0" fontId="31" fillId="23" borderId="0" applyNumberFormat="0" applyBorder="0" applyAlignment="0" applyProtection="0"/>
    <xf numFmtId="0" fontId="18" fillId="14" borderId="0" applyNumberFormat="0" applyBorder="0" applyAlignment="0" applyProtection="0"/>
    <xf numFmtId="173" fontId="3" fillId="0" borderId="0" applyFont="0" applyFill="0" applyBorder="0" applyAlignment="0" applyProtection="0">
      <alignment horizontal="left"/>
    </xf>
    <xf numFmtId="0" fontId="18" fillId="7" borderId="8" applyNumberFormat="0" applyFont="0" applyAlignment="0" applyProtection="0"/>
    <xf numFmtId="0" fontId="18" fillId="19" borderId="0" applyNumberFormat="0" applyBorder="0" applyAlignment="0" applyProtection="0"/>
    <xf numFmtId="0" fontId="25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10" borderId="4" applyNumberFormat="0" applyAlignment="0" applyProtection="0"/>
    <xf numFmtId="0" fontId="31" fillId="13" borderId="0" applyNumberFormat="0" applyBorder="0" applyAlignment="0" applyProtection="0"/>
    <xf numFmtId="0" fontId="16" fillId="10" borderId="4" applyNumberFormat="0" applyAlignment="0" applyProtection="0"/>
    <xf numFmtId="0" fontId="33" fillId="0" borderId="10" applyNumberFormat="0" applyFill="0" applyAlignment="0" applyProtection="0"/>
    <xf numFmtId="0" fontId="18" fillId="14" borderId="0" applyNumberFormat="0" applyBorder="0" applyAlignment="0" applyProtection="0"/>
    <xf numFmtId="0" fontId="31" fillId="12" borderId="0" applyNumberFormat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0" fillId="3" borderId="4" applyNumberFormat="0" applyAlignment="0" applyProtection="0"/>
    <xf numFmtId="0" fontId="3" fillId="10" borderId="0" applyNumberFormat="0" applyFont="0" applyBorder="0" applyAlignment="0"/>
    <xf numFmtId="0" fontId="3" fillId="0" borderId="0"/>
    <xf numFmtId="0" fontId="31" fillId="24" borderId="0" applyNumberFormat="0" applyBorder="0" applyAlignment="0" applyProtection="0"/>
    <xf numFmtId="0" fontId="3" fillId="0" borderId="0"/>
    <xf numFmtId="0" fontId="18" fillId="14" borderId="0" applyNumberFormat="0" applyBorder="0" applyAlignment="0" applyProtection="0"/>
    <xf numFmtId="0" fontId="38" fillId="0" borderId="0"/>
    <xf numFmtId="0" fontId="31" fillId="15" borderId="0" applyNumberFormat="0" applyBorder="0" applyAlignment="0" applyProtection="0"/>
    <xf numFmtId="0" fontId="18" fillId="5" borderId="0" applyNumberFormat="0" applyBorder="0" applyAlignment="0" applyProtection="0"/>
    <xf numFmtId="0" fontId="31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5" borderId="0" applyNumberFormat="0" applyBorder="0" applyAlignment="0" applyProtection="0"/>
    <xf numFmtId="0" fontId="38" fillId="0" borderId="0"/>
    <xf numFmtId="0" fontId="18" fillId="7" borderId="8" applyNumberFormat="0" applyFont="0" applyAlignment="0" applyProtection="0"/>
    <xf numFmtId="0" fontId="36" fillId="0" borderId="0" applyNumberFormat="0" applyFill="0" applyBorder="0" applyAlignment="0" applyProtection="0"/>
    <xf numFmtId="0" fontId="23" fillId="3" borderId="9" applyNumberFormat="0" applyAlignment="0" applyProtection="0"/>
    <xf numFmtId="173" fontId="3" fillId="0" borderId="0" applyFont="0" applyFill="0" applyBorder="0" applyAlignment="0" applyProtection="0">
      <alignment horizontal="left"/>
    </xf>
    <xf numFmtId="0" fontId="26" fillId="8" borderId="0" applyNumberFormat="0" applyBorder="0" applyAlignment="0" applyProtection="0"/>
    <xf numFmtId="9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8" fillId="14" borderId="0" applyNumberFormat="0" applyBorder="0" applyAlignment="0" applyProtection="0"/>
    <xf numFmtId="172" fontId="3" fillId="0" borderId="0" applyFont="0" applyFill="0" applyBorder="0" applyAlignment="0" applyProtection="0">
      <alignment horizontal="left"/>
    </xf>
    <xf numFmtId="0" fontId="31" fillId="6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25" fillId="20" borderId="0" applyNumberFormat="0" applyBorder="0" applyAlignment="0" applyProtection="0"/>
    <xf numFmtId="0" fontId="30" fillId="3" borderId="4" applyNumberFormat="0" applyAlignment="0" applyProtection="0"/>
    <xf numFmtId="0" fontId="2" fillId="0" borderId="0"/>
    <xf numFmtId="0" fontId="18" fillId="19" borderId="0" applyNumberFormat="0" applyBorder="0" applyAlignment="0" applyProtection="0"/>
    <xf numFmtId="4" fontId="28" fillId="0" borderId="0"/>
    <xf numFmtId="44" fontId="3" fillId="0" borderId="0" applyFont="0" applyFill="0" applyBorder="0" applyAlignment="0" applyProtection="0"/>
    <xf numFmtId="0" fontId="31" fillId="6" borderId="0" applyNumberFormat="0" applyBorder="0" applyAlignment="0" applyProtection="0"/>
    <xf numFmtId="0" fontId="28" fillId="17" borderId="2"/>
    <xf numFmtId="0" fontId="18" fillId="14" borderId="0" applyNumberFormat="0" applyBorder="0" applyAlignment="0" applyProtection="0"/>
    <xf numFmtId="172" fontId="3" fillId="0" borderId="0" applyFont="0" applyFill="0" applyBorder="0" applyAlignment="0" applyProtection="0">
      <alignment horizontal="left"/>
    </xf>
    <xf numFmtId="0" fontId="31" fillId="15" borderId="0" applyNumberFormat="0" applyBorder="0" applyAlignment="0" applyProtection="0"/>
    <xf numFmtId="0" fontId="16" fillId="10" borderId="4" applyNumberFormat="0" applyAlignment="0" applyProtection="0"/>
    <xf numFmtId="0" fontId="18" fillId="9" borderId="0" applyNumberFormat="0" applyBorder="0" applyAlignment="0" applyProtection="0"/>
    <xf numFmtId="0" fontId="2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1" fillId="13" borderId="0" applyNumberFormat="0" applyBorder="0" applyAlignment="0" applyProtection="0"/>
    <xf numFmtId="0" fontId="16" fillId="10" borderId="4" applyNumberFormat="0" applyAlignment="0" applyProtection="0"/>
    <xf numFmtId="0" fontId="18" fillId="22" borderId="0" applyNumberFormat="0" applyBorder="0" applyAlignment="0" applyProtection="0"/>
    <xf numFmtId="0" fontId="2" fillId="0" borderId="0"/>
    <xf numFmtId="0" fontId="18" fillId="21" borderId="0" applyNumberFormat="0" applyBorder="0" applyAlignment="0" applyProtection="0"/>
    <xf numFmtId="0" fontId="18" fillId="11" borderId="0" applyNumberFormat="0" applyBorder="0" applyAlignment="0" applyProtection="0"/>
    <xf numFmtId="176" fontId="37" fillId="0" borderId="0" applyFont="0" applyFill="0" applyBorder="0" applyAlignment="0" applyProtection="0"/>
    <xf numFmtId="0" fontId="2" fillId="0" borderId="0"/>
    <xf numFmtId="173" fontId="3" fillId="0" borderId="0" applyFont="0" applyFill="0" applyBorder="0" applyAlignment="0" applyProtection="0">
      <alignment horizontal="left"/>
    </xf>
    <xf numFmtId="0" fontId="18" fillId="21" borderId="0" applyNumberFormat="0" applyBorder="0" applyAlignment="0" applyProtection="0"/>
    <xf numFmtId="0" fontId="13" fillId="0" borderId="11" applyNumberFormat="0" applyFill="0" applyAlignment="0" applyProtection="0"/>
    <xf numFmtId="0" fontId="35" fillId="0" borderId="12" applyNumberFormat="0" applyFill="0" applyAlignment="0" applyProtection="0"/>
    <xf numFmtId="0" fontId="30" fillId="3" borderId="4" applyNumberFormat="0" applyAlignment="0" applyProtection="0"/>
    <xf numFmtId="164" fontId="3" fillId="0" borderId="0" applyFont="0" applyFill="0" applyBorder="0" applyAlignment="0" applyProtection="0">
      <alignment horizontal="left"/>
    </xf>
    <xf numFmtId="0" fontId="31" fillId="24" borderId="0" applyNumberFormat="0" applyBorder="0" applyAlignment="0" applyProtection="0"/>
    <xf numFmtId="0" fontId="30" fillId="3" borderId="4" applyNumberFormat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23" fillId="3" borderId="9" applyNumberFormat="0" applyAlignment="0" applyProtection="0"/>
    <xf numFmtId="0" fontId="23" fillId="3" borderId="9" applyNumberFormat="0" applyAlignment="0" applyProtection="0"/>
    <xf numFmtId="174" fontId="15" fillId="26" borderId="0" applyNumberFormat="0" applyBorder="0">
      <protection locked="0"/>
    </xf>
    <xf numFmtId="0" fontId="18" fillId="10" borderId="0" applyNumberFormat="0" applyBorder="0" applyAlignment="0" applyProtection="0"/>
    <xf numFmtId="172" fontId="3" fillId="0" borderId="0" applyFont="0" applyFill="0" applyBorder="0" applyAlignment="0" applyProtection="0">
      <alignment horizontal="left"/>
    </xf>
    <xf numFmtId="0" fontId="18" fillId="7" borderId="8" applyNumberFormat="0" applyFont="0" applyAlignment="0" applyProtection="0"/>
    <xf numFmtId="0" fontId="30" fillId="3" borderId="4" applyNumberFormat="0" applyAlignment="0" applyProtection="0"/>
    <xf numFmtId="0" fontId="6" fillId="0" borderId="0"/>
    <xf numFmtId="0" fontId="27" fillId="17" borderId="5" applyNumberFormat="0" applyAlignment="0" applyProtection="0"/>
    <xf numFmtId="0" fontId="25" fillId="20" borderId="0" applyNumberFormat="0" applyBorder="0" applyAlignment="0" applyProtection="0"/>
    <xf numFmtId="0" fontId="31" fillId="24" borderId="0" applyNumberFormat="0" applyBorder="0" applyAlignment="0" applyProtection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3" borderId="9" applyNumberFormat="0" applyAlignment="0" applyProtection="0"/>
    <xf numFmtId="0" fontId="12" fillId="0" borderId="0"/>
    <xf numFmtId="9" fontId="38" fillId="0" borderId="0" applyFont="0" applyFill="0" applyBorder="0" applyAlignment="0" applyProtection="0"/>
    <xf numFmtId="0" fontId="38" fillId="0" borderId="0"/>
    <xf numFmtId="0" fontId="3" fillId="0" borderId="0"/>
    <xf numFmtId="0" fontId="18" fillId="20" borderId="0" applyNumberFormat="0" applyBorder="0" applyAlignment="0" applyProtection="0"/>
    <xf numFmtId="167" fontId="37" fillId="0" borderId="0" applyFill="0" applyBorder="0" applyAlignment="0" applyProtection="0"/>
    <xf numFmtId="0" fontId="26" fillId="8" borderId="0" applyNumberFormat="0" applyBorder="0" applyAlignment="0" applyProtection="0"/>
    <xf numFmtId="0" fontId="28" fillId="17" borderId="2"/>
    <xf numFmtId="0" fontId="30" fillId="3" borderId="4" applyNumberFormat="0" applyAlignment="0" applyProtection="0"/>
    <xf numFmtId="0" fontId="31" fillId="4" borderId="0" applyNumberFormat="0" applyBorder="0" applyAlignment="0" applyProtection="0"/>
    <xf numFmtId="0" fontId="31" fillId="21" borderId="0" applyNumberFormat="0" applyBorder="0" applyAlignment="0" applyProtection="0"/>
    <xf numFmtId="0" fontId="16" fillId="10" borderId="4" applyNumberFormat="0" applyAlignment="0" applyProtection="0"/>
    <xf numFmtId="0" fontId="32" fillId="0" borderId="0" applyNumberFormat="0" applyFont="0" applyFill="0" applyBorder="0" applyProtection="0">
      <alignment horizontal="left" vertical="center" indent="5"/>
    </xf>
    <xf numFmtId="0" fontId="3" fillId="0" borderId="0"/>
    <xf numFmtId="0" fontId="31" fillId="21" borderId="0" applyNumberFormat="0" applyBorder="0" applyAlignment="0" applyProtection="0"/>
    <xf numFmtId="0" fontId="3" fillId="8" borderId="0" applyNumberFormat="0" applyFont="0" applyBorder="0" applyAlignment="0"/>
    <xf numFmtId="0" fontId="32" fillId="17" borderId="0" applyNumberFormat="0" applyFont="0" applyBorder="0" applyAlignment="0" applyProtection="0"/>
    <xf numFmtId="0" fontId="2" fillId="0" borderId="0"/>
    <xf numFmtId="0" fontId="23" fillId="3" borderId="9" applyNumberFormat="0" applyAlignment="0" applyProtection="0"/>
    <xf numFmtId="0" fontId="31" fillId="12" borderId="0" applyNumberFormat="0" applyBorder="0" applyAlignment="0" applyProtection="0"/>
    <xf numFmtId="0" fontId="26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>
      <alignment horizontal="left"/>
    </xf>
    <xf numFmtId="166" fontId="3" fillId="0" borderId="0" applyFont="0" applyFill="0" applyBorder="0" applyAlignment="0" applyProtection="0"/>
    <xf numFmtId="0" fontId="28" fillId="17" borderId="2"/>
    <xf numFmtId="0" fontId="18" fillId="25" borderId="0" applyNumberFormat="0" applyBorder="0" applyAlignment="0" applyProtection="0"/>
    <xf numFmtId="0" fontId="16" fillId="10" borderId="4" applyNumberFormat="0" applyAlignment="0" applyProtection="0"/>
    <xf numFmtId="0" fontId="31" fillId="6" borderId="0" applyNumberFormat="0" applyBorder="0" applyAlignment="0" applyProtection="0"/>
    <xf numFmtId="0" fontId="4" fillId="0" borderId="0" applyNumberFormat="0" applyFill="0" applyBorder="0" applyAlignment="0" applyProtection="0"/>
    <xf numFmtId="13" fontId="3" fillId="0" borderId="0" applyFont="0" applyFill="0" applyProtection="0"/>
    <xf numFmtId="0" fontId="13" fillId="0" borderId="11" applyNumberFormat="0" applyFill="0" applyAlignment="0" applyProtection="0"/>
    <xf numFmtId="0" fontId="18" fillId="22" borderId="0" applyNumberFormat="0" applyBorder="0" applyAlignment="0" applyProtection="0"/>
    <xf numFmtId="0" fontId="30" fillId="3" borderId="4" applyNumberFormat="0" applyAlignment="0" applyProtection="0"/>
    <xf numFmtId="171" fontId="3" fillId="0" borderId="0" applyFont="0" applyFill="0" applyBorder="0" applyAlignment="0" applyProtection="0"/>
    <xf numFmtId="0" fontId="31" fillId="13" borderId="0" applyNumberFormat="0" applyBorder="0" applyAlignment="0" applyProtection="0"/>
    <xf numFmtId="0" fontId="2" fillId="0" borderId="0"/>
    <xf numFmtId="0" fontId="2" fillId="0" borderId="0"/>
    <xf numFmtId="167" fontId="20" fillId="0" borderId="0">
      <alignment horizontal="left" vertical="center"/>
    </xf>
    <xf numFmtId="0" fontId="18" fillId="14" borderId="0" applyNumberFormat="0" applyBorder="0" applyAlignment="0" applyProtection="0"/>
    <xf numFmtId="0" fontId="18" fillId="7" borderId="8" applyNumberFormat="0" applyFont="0" applyAlignment="0" applyProtection="0"/>
    <xf numFmtId="9" fontId="11" fillId="0" borderId="0" applyFont="0" applyFill="0" applyBorder="0" applyAlignment="0" applyProtection="0"/>
    <xf numFmtId="0" fontId="31" fillId="23" borderId="0" applyNumberFormat="0" applyBorder="0" applyAlignment="0" applyProtection="0"/>
    <xf numFmtId="0" fontId="3" fillId="0" borderId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2" fillId="0" borderId="0"/>
    <xf numFmtId="41" fontId="3" fillId="0" borderId="0" applyFont="0" applyFill="0" applyBorder="0" applyAlignment="0" applyProtection="0">
      <alignment wrapText="1"/>
    </xf>
    <xf numFmtId="0" fontId="18" fillId="22" borderId="0" applyNumberFormat="0" applyBorder="0" applyAlignment="0" applyProtection="0"/>
    <xf numFmtId="0" fontId="2" fillId="0" borderId="0"/>
    <xf numFmtId="0" fontId="18" fillId="5" borderId="0" applyNumberFormat="0" applyBorder="0" applyAlignment="0" applyProtection="0"/>
    <xf numFmtId="0" fontId="23" fillId="3" borderId="9" applyNumberFormat="0" applyAlignment="0" applyProtection="0"/>
    <xf numFmtId="0" fontId="18" fillId="5" borderId="0" applyNumberFormat="0" applyBorder="0" applyAlignment="0" applyProtection="0"/>
    <xf numFmtId="0" fontId="31" fillId="15" borderId="0" applyNumberFormat="0" applyBorder="0" applyAlignment="0" applyProtection="0"/>
    <xf numFmtId="0" fontId="22" fillId="11" borderId="0" applyNumberFormat="0" applyBorder="0" applyAlignment="0" applyProtection="0"/>
    <xf numFmtId="0" fontId="18" fillId="10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>
      <alignment horizontal="right"/>
    </xf>
    <xf numFmtId="9" fontId="11" fillId="0" borderId="0" applyFont="0" applyFill="0" applyBorder="0" applyAlignment="0" applyProtection="0"/>
    <xf numFmtId="0" fontId="23" fillId="3" borderId="9" applyNumberFormat="0" applyAlignment="0" applyProtection="0"/>
    <xf numFmtId="0" fontId="2" fillId="0" borderId="0"/>
    <xf numFmtId="0" fontId="18" fillId="20" borderId="0" applyNumberFormat="0" applyBorder="0" applyAlignment="0" applyProtection="0"/>
    <xf numFmtId="0" fontId="31" fillId="16" borderId="0" applyNumberFormat="0" applyBorder="0" applyAlignment="0" applyProtection="0"/>
    <xf numFmtId="172" fontId="3" fillId="0" borderId="0" applyFont="0" applyFill="0" applyBorder="0" applyAlignment="0" applyProtection="0">
      <alignment horizontal="left"/>
    </xf>
    <xf numFmtId="0" fontId="16" fillId="10" borderId="4" applyNumberFormat="0" applyAlignment="0" applyProtection="0"/>
    <xf numFmtId="0" fontId="18" fillId="7" borderId="8" applyNumberFormat="0" applyFont="0" applyAlignment="0" applyProtection="0"/>
    <xf numFmtId="0" fontId="18" fillId="14" borderId="0" applyNumberFormat="0" applyBorder="0" applyAlignment="0" applyProtection="0"/>
    <xf numFmtId="0" fontId="18" fillId="25" borderId="0" applyNumberFormat="0" applyBorder="0" applyAlignment="0" applyProtection="0"/>
    <xf numFmtId="0" fontId="31" fillId="24" borderId="0" applyNumberFormat="0" applyBorder="0" applyAlignment="0" applyProtection="0"/>
    <xf numFmtId="0" fontId="18" fillId="9" borderId="0" applyNumberFormat="0" applyBorder="0" applyAlignment="0" applyProtection="0"/>
    <xf numFmtId="9" fontId="2" fillId="0" borderId="0" applyFont="0" applyFill="0" applyBorder="0" applyAlignment="0" applyProtection="0"/>
    <xf numFmtId="0" fontId="18" fillId="9" borderId="0" applyNumberFormat="0" applyBorder="0" applyAlignment="0" applyProtection="0"/>
    <xf numFmtId="0" fontId="27" fillId="17" borderId="5" applyNumberFormat="0" applyAlignment="0" applyProtection="0"/>
    <xf numFmtId="0" fontId="25" fillId="20" borderId="0" applyNumberFormat="0" applyBorder="0" applyAlignment="0" applyProtection="0"/>
    <xf numFmtId="0" fontId="16" fillId="10" borderId="4" applyNumberFormat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/>
    <xf numFmtId="49" fontId="3" fillId="0" borderId="0" applyFill="0" applyBorder="0" applyProtection="0">
      <alignment horizontal="left"/>
    </xf>
    <xf numFmtId="0" fontId="18" fillId="20" borderId="0" applyNumberFormat="0" applyBorder="0" applyAlignment="0" applyProtection="0"/>
    <xf numFmtId="0" fontId="31" fillId="23" borderId="0" applyNumberFormat="0" applyBorder="0" applyAlignment="0" applyProtection="0"/>
    <xf numFmtId="0" fontId="29" fillId="8" borderId="0">
      <alignment horizontal="left" vertical="center" indent="1"/>
    </xf>
    <xf numFmtId="0" fontId="2" fillId="0" borderId="0"/>
    <xf numFmtId="0" fontId="31" fillId="16" borderId="0" applyNumberFormat="0" applyBorder="0" applyAlignment="0" applyProtection="0"/>
    <xf numFmtId="0" fontId="18" fillId="25" borderId="0" applyNumberFormat="0" applyBorder="0" applyAlignment="0" applyProtection="0"/>
    <xf numFmtId="0" fontId="16" fillId="10" borderId="4" applyNumberFormat="0" applyAlignment="0" applyProtection="0"/>
    <xf numFmtId="0" fontId="27" fillId="17" borderId="5" applyNumberFormat="0" applyAlignment="0" applyProtection="0"/>
    <xf numFmtId="0" fontId="31" fillId="16" borderId="0" applyNumberFormat="0" applyBorder="0" applyAlignment="0" applyProtection="0"/>
    <xf numFmtId="165" fontId="3" fillId="0" borderId="0" applyFont="0" applyFill="0" applyBorder="0" applyAlignment="0" applyProtection="0"/>
    <xf numFmtId="4" fontId="28" fillId="0" borderId="1">
      <alignment horizontal="right" vertical="center"/>
    </xf>
    <xf numFmtId="0" fontId="18" fillId="9" borderId="0" applyNumberFormat="0" applyBorder="0" applyAlignment="0" applyProtection="0"/>
    <xf numFmtId="0" fontId="22" fillId="11" borderId="0" applyNumberFormat="0" applyBorder="0" applyAlignment="0" applyProtection="0"/>
    <xf numFmtId="169" fontId="3" fillId="0" borderId="0" applyFont="0" applyFill="0" applyBorder="0" applyAlignment="0" applyProtection="0"/>
    <xf numFmtId="49" fontId="3" fillId="0" borderId="0" applyFill="0" applyBorder="0" applyProtection="0">
      <alignment horizontal="left"/>
    </xf>
    <xf numFmtId="0" fontId="31" fillId="1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8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6" fillId="0" borderId="0"/>
  </cellStyleXfs>
  <cellXfs count="131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7" borderId="0" xfId="0" applyFill="1"/>
    <xf numFmtId="0" fontId="41" fillId="0" borderId="0" xfId="0" applyFont="1"/>
    <xf numFmtId="177" fontId="0" fillId="0" borderId="0" xfId="281" applyNumberFormat="1" applyFont="1"/>
    <xf numFmtId="177" fontId="1" fillId="0" borderId="0" xfId="281" applyNumberFormat="1" applyFont="1"/>
    <xf numFmtId="0" fontId="1" fillId="0" borderId="0" xfId="0" applyFont="1" applyAlignment="1">
      <alignment wrapText="1"/>
    </xf>
    <xf numFmtId="177" fontId="0" fillId="0" borderId="0" xfId="281" quotePrefix="1" applyNumberFormat="1" applyFont="1"/>
    <xf numFmtId="177" fontId="0" fillId="0" borderId="0" xfId="281" applyNumberFormat="1" applyFont="1" applyAlignment="1"/>
    <xf numFmtId="0" fontId="0" fillId="0" borderId="0" xfId="0" applyAlignment="1">
      <alignment horizontal="left" vertical="top" wrapText="1"/>
    </xf>
    <xf numFmtId="0" fontId="43" fillId="0" borderId="0" xfId="0" applyFont="1" applyFill="1"/>
    <xf numFmtId="0" fontId="1" fillId="28" borderId="0" xfId="0" applyFont="1" applyFill="1" applyAlignment="1">
      <alignment horizontal="center"/>
    </xf>
    <xf numFmtId="0" fontId="0" fillId="28" borderId="0" xfId="0" applyFill="1"/>
    <xf numFmtId="0" fontId="1" fillId="28" borderId="0" xfId="0" applyFont="1" applyFill="1"/>
    <xf numFmtId="0" fontId="0" fillId="0" borderId="0" xfId="0" applyAlignment="1">
      <alignment horizontal="center"/>
    </xf>
    <xf numFmtId="0" fontId="45" fillId="29" borderId="0" xfId="285" applyFont="1" applyFill="1" applyAlignment="1">
      <alignment vertical="center"/>
    </xf>
    <xf numFmtId="49" fontId="46" fillId="29" borderId="13" xfId="3" applyNumberFormat="1" applyFont="1" applyFill="1" applyBorder="1" applyAlignment="1" applyProtection="1">
      <alignment horizontal="left"/>
      <protection locked="0"/>
    </xf>
    <xf numFmtId="49" fontId="46" fillId="29" borderId="13" xfId="3" applyNumberFormat="1" applyFont="1" applyFill="1" applyBorder="1" applyAlignment="1" applyProtection="1">
      <alignment horizontal="right" vertical="center"/>
      <protection locked="0"/>
    </xf>
    <xf numFmtId="49" fontId="47" fillId="29" borderId="15" xfId="3" applyNumberFormat="1" applyFont="1" applyFill="1" applyBorder="1" applyAlignment="1" applyProtection="1">
      <alignment horizontal="left" wrapText="1"/>
      <protection locked="0"/>
    </xf>
    <xf numFmtId="49" fontId="47" fillId="29" borderId="15" xfId="3" applyNumberFormat="1" applyFont="1" applyFill="1" applyBorder="1" applyAlignment="1" applyProtection="1">
      <alignment horizontal="left"/>
      <protection locked="0"/>
    </xf>
    <xf numFmtId="49" fontId="46" fillId="29" borderId="15" xfId="3" applyNumberFormat="1" applyFont="1" applyFill="1" applyBorder="1" applyAlignment="1" applyProtection="1">
      <alignment horizontal="right" vertical="center"/>
      <protection locked="0"/>
    </xf>
    <xf numFmtId="3" fontId="47" fillId="29" borderId="15" xfId="286" applyNumberFormat="1" applyFont="1" applyFill="1" applyBorder="1" applyAlignment="1" applyProtection="1">
      <alignment horizontal="right" wrapText="1"/>
      <protection locked="0"/>
    </xf>
    <xf numFmtId="3" fontId="46" fillId="29" borderId="0" xfId="3" applyNumberFormat="1" applyFont="1" applyFill="1" applyAlignment="1" applyProtection="1">
      <alignment horizontal="left"/>
      <protection locked="0"/>
    </xf>
    <xf numFmtId="49" fontId="46" fillId="29" borderId="0" xfId="3" applyNumberFormat="1" applyFont="1" applyFill="1" applyAlignment="1" applyProtection="1">
      <alignment horizontal="left" indent="1"/>
      <protection locked="0"/>
    </xf>
    <xf numFmtId="179" fontId="46" fillId="29" borderId="0" xfId="287" applyNumberFormat="1" applyFont="1" applyFill="1" applyAlignment="1" applyProtection="1">
      <alignment horizontal="right"/>
      <protection locked="0"/>
    </xf>
    <xf numFmtId="177" fontId="46" fillId="29" borderId="0" xfId="281" applyNumberFormat="1" applyFont="1" applyFill="1" applyAlignment="1" applyProtection="1">
      <alignment horizontal="right" indent="1"/>
      <protection locked="0"/>
    </xf>
    <xf numFmtId="177" fontId="46" fillId="29" borderId="0" xfId="281" applyNumberFormat="1" applyFont="1" applyFill="1" applyAlignment="1" applyProtection="1">
      <alignment horizontal="right"/>
      <protection locked="0"/>
    </xf>
    <xf numFmtId="177" fontId="46" fillId="29" borderId="0" xfId="281" applyNumberFormat="1" applyFont="1" applyFill="1" applyAlignment="1" applyProtection="1">
      <alignment horizontal="left" indent="1"/>
      <protection locked="0"/>
    </xf>
    <xf numFmtId="3" fontId="47" fillId="29" borderId="16" xfId="286" applyNumberFormat="1" applyFont="1" applyFill="1" applyBorder="1" applyAlignment="1" applyProtection="1">
      <alignment horizontal="right" wrapText="1"/>
      <protection locked="0"/>
    </xf>
    <xf numFmtId="177" fontId="0" fillId="0" borderId="0" xfId="0" applyNumberFormat="1"/>
    <xf numFmtId="9" fontId="0" fillId="0" borderId="0" xfId="0" applyNumberFormat="1"/>
    <xf numFmtId="179" fontId="0" fillId="0" borderId="0" xfId="0" applyNumberFormat="1"/>
    <xf numFmtId="0" fontId="0" fillId="0" borderId="17" xfId="0" applyBorder="1"/>
    <xf numFmtId="0" fontId="0" fillId="0" borderId="17" xfId="0" applyBorder="1" applyAlignment="1">
      <alignment wrapText="1"/>
    </xf>
    <xf numFmtId="1" fontId="0" fillId="0" borderId="0" xfId="0" applyNumberFormat="1"/>
    <xf numFmtId="1" fontId="0" fillId="30" borderId="0" xfId="0" applyNumberFormat="1" applyFill="1"/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177" fontId="0" fillId="0" borderId="0" xfId="281" applyNumberFormat="1" applyFont="1" applyAlignment="1">
      <alignment horizontal="right"/>
    </xf>
    <xf numFmtId="9" fontId="0" fillId="0" borderId="0" xfId="283" applyFont="1" applyFill="1" applyAlignment="1">
      <alignment horizontal="right"/>
    </xf>
    <xf numFmtId="177" fontId="50" fillId="0" borderId="0" xfId="281" applyNumberFormat="1" applyFont="1" applyAlignment="1">
      <alignment horizontal="left" wrapText="1"/>
    </xf>
    <xf numFmtId="9" fontId="0" fillId="0" borderId="0" xfId="283" applyFont="1" applyAlignment="1">
      <alignment horizontal="right"/>
    </xf>
    <xf numFmtId="10" fontId="1" fillId="0" borderId="0" xfId="0" applyNumberFormat="1" applyFont="1"/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80" fontId="0" fillId="0" borderId="0" xfId="281" applyNumberFormat="1" applyFont="1"/>
    <xf numFmtId="180" fontId="0" fillId="0" borderId="0" xfId="0" applyNumberFormat="1"/>
    <xf numFmtId="180" fontId="1" fillId="31" borderId="0" xfId="0" applyNumberFormat="1" applyFont="1" applyFill="1"/>
    <xf numFmtId="0" fontId="1" fillId="31" borderId="0" xfId="0" applyFont="1" applyFill="1"/>
    <xf numFmtId="0" fontId="0" fillId="31" borderId="0" xfId="0" applyFill="1"/>
    <xf numFmtId="0" fontId="0" fillId="0" borderId="0" xfId="0" applyFont="1"/>
    <xf numFmtId="181" fontId="0" fillId="0" borderId="0" xfId="0" applyNumberFormat="1"/>
    <xf numFmtId="9" fontId="0" fillId="0" borderId="0" xfId="283" applyFont="1"/>
    <xf numFmtId="177" fontId="0" fillId="0" borderId="0" xfId="0" applyNumberFormat="1" applyFill="1"/>
    <xf numFmtId="0" fontId="0" fillId="0" borderId="0" xfId="0" applyAlignment="1"/>
    <xf numFmtId="0" fontId="4" fillId="0" borderId="0" xfId="284"/>
    <xf numFmtId="2" fontId="0" fillId="0" borderId="0" xfId="283" applyNumberFormat="1" applyFont="1"/>
    <xf numFmtId="6" fontId="0" fillId="0" borderId="0" xfId="0" applyNumberFormat="1"/>
    <xf numFmtId="10" fontId="0" fillId="0" borderId="0" xfId="0" applyNumberFormat="1"/>
    <xf numFmtId="182" fontId="0" fillId="0" borderId="0" xfId="0" applyNumberFormat="1"/>
    <xf numFmtId="182" fontId="1" fillId="0" borderId="0" xfId="0" applyNumberFormat="1" applyFont="1"/>
    <xf numFmtId="2" fontId="0" fillId="0" borderId="0" xfId="0" applyNumberFormat="1"/>
    <xf numFmtId="0" fontId="46" fillId="0" borderId="0" xfId="288" applyFill="1"/>
    <xf numFmtId="0" fontId="50" fillId="0" borderId="0" xfId="0" applyFont="1"/>
    <xf numFmtId="182" fontId="51" fillId="0" borderId="0" xfId="0" applyNumberFormat="1" applyFont="1" applyFill="1" applyBorder="1" applyAlignment="1">
      <alignment horizontal="right" vertical="center" wrapText="1"/>
    </xf>
    <xf numFmtId="183" fontId="5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51" fillId="0" borderId="0" xfId="0" applyNumberFormat="1" applyFont="1" applyFill="1" applyBorder="1" applyAlignment="1">
      <alignment horizontal="right" vertical="center" wrapText="1"/>
    </xf>
    <xf numFmtId="0" fontId="43" fillId="0" borderId="0" xfId="0" applyFont="1"/>
    <xf numFmtId="9" fontId="43" fillId="32" borderId="0" xfId="283" applyFont="1" applyFill="1"/>
    <xf numFmtId="10" fontId="43" fillId="32" borderId="0" xfId="0" applyNumberFormat="1" applyFont="1" applyFill="1"/>
    <xf numFmtId="10" fontId="43" fillId="0" borderId="0" xfId="0" applyNumberFormat="1" applyFont="1" applyFill="1"/>
    <xf numFmtId="0" fontId="44" fillId="0" borderId="0" xfId="0" applyFont="1"/>
    <xf numFmtId="2" fontId="43" fillId="0" borderId="0" xfId="0" applyNumberFormat="1" applyFont="1" applyFill="1"/>
    <xf numFmtId="0" fontId="52" fillId="33" borderId="18" xfId="0" applyFont="1" applyFill="1" applyBorder="1" applyAlignment="1">
      <alignment vertical="center"/>
    </xf>
    <xf numFmtId="0" fontId="52" fillId="33" borderId="19" xfId="0" applyFont="1" applyFill="1" applyBorder="1" applyAlignment="1">
      <alignment horizontal="centerContinuous" vertical="center"/>
    </xf>
    <xf numFmtId="0" fontId="52" fillId="33" borderId="20" xfId="0" applyFont="1" applyFill="1" applyBorder="1" applyAlignment="1">
      <alignment horizontal="centerContinuous" vertical="center"/>
    </xf>
    <xf numFmtId="0" fontId="52" fillId="33" borderId="21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centerContinuous" vertical="center"/>
    </xf>
    <xf numFmtId="0" fontId="52" fillId="33" borderId="23" xfId="0" applyFont="1" applyFill="1" applyBorder="1" applyAlignment="1">
      <alignment horizontal="centerContinuous" vertical="center"/>
    </xf>
    <xf numFmtId="0" fontId="3" fillId="11" borderId="21" xfId="0" applyFont="1" applyFill="1" applyBorder="1" applyAlignment="1">
      <alignment vertical="center"/>
    </xf>
    <xf numFmtId="0" fontId="34" fillId="11" borderId="24" xfId="0" applyFont="1" applyFill="1" applyBorder="1" applyAlignment="1">
      <alignment horizontal="centerContinuous" vertical="center"/>
    </xf>
    <xf numFmtId="0" fontId="34" fillId="11" borderId="25" xfId="0" applyFont="1" applyFill="1" applyBorder="1" applyAlignment="1">
      <alignment horizontal="centerContinuous" vertical="center"/>
    </xf>
    <xf numFmtId="0" fontId="34" fillId="11" borderId="26" xfId="0" applyFont="1" applyFill="1" applyBorder="1" applyAlignment="1">
      <alignment vertical="center"/>
    </xf>
    <xf numFmtId="0" fontId="34" fillId="11" borderId="2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vertical="center"/>
    </xf>
    <xf numFmtId="184" fontId="3" fillId="0" borderId="26" xfId="0" applyNumberFormat="1" applyFont="1" applyFill="1" applyBorder="1" applyAlignment="1">
      <alignment horizontal="center" vertical="center" wrapText="1"/>
    </xf>
    <xf numFmtId="185" fontId="3" fillId="0" borderId="26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vertical="center"/>
    </xf>
    <xf numFmtId="184" fontId="3" fillId="0" borderId="29" xfId="0" applyNumberFormat="1" applyFont="1" applyFill="1" applyBorder="1" applyAlignment="1">
      <alignment horizontal="center" vertical="center" wrapText="1"/>
    </xf>
    <xf numFmtId="185" fontId="3" fillId="0" borderId="29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/>
    </xf>
    <xf numFmtId="184" fontId="3" fillId="0" borderId="30" xfId="0" applyNumberFormat="1" applyFont="1" applyFill="1" applyBorder="1" applyAlignment="1">
      <alignment horizontal="center" vertical="center" wrapText="1"/>
    </xf>
    <xf numFmtId="185" fontId="3" fillId="0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7" borderId="0" xfId="0" applyFont="1" applyFill="1"/>
    <xf numFmtId="0" fontId="4" fillId="27" borderId="0" xfId="284" applyFill="1"/>
    <xf numFmtId="0" fontId="53" fillId="28" borderId="31" xfId="0" applyFont="1" applyFill="1" applyBorder="1" applyAlignment="1">
      <alignment wrapText="1"/>
    </xf>
    <xf numFmtId="0" fontId="54" fillId="28" borderId="31" xfId="0" applyFont="1" applyFill="1" applyBorder="1" applyAlignment="1">
      <alignment wrapText="1"/>
    </xf>
    <xf numFmtId="0" fontId="54" fillId="0" borderId="31" xfId="0" applyFont="1" applyFill="1" applyBorder="1" applyAlignment="1">
      <alignment wrapText="1"/>
    </xf>
    <xf numFmtId="1" fontId="54" fillId="0" borderId="31" xfId="0" quotePrefix="1" applyNumberFormat="1" applyFont="1" applyFill="1" applyBorder="1" applyAlignment="1">
      <alignment wrapText="1"/>
    </xf>
    <xf numFmtId="1" fontId="54" fillId="0" borderId="31" xfId="0" applyNumberFormat="1" applyFont="1" applyFill="1" applyBorder="1" applyAlignment="1">
      <alignment wrapText="1"/>
    </xf>
    <xf numFmtId="0" fontId="1" fillId="28" borderId="0" xfId="0" applyFont="1" applyFill="1" applyAlignment="1">
      <alignment horizontal="right"/>
    </xf>
    <xf numFmtId="0" fontId="0" fillId="28" borderId="0" xfId="0" applyFill="1" applyAlignment="1">
      <alignment horizontal="right"/>
    </xf>
    <xf numFmtId="1" fontId="0" fillId="28" borderId="0" xfId="0" applyNumberFormat="1" applyFill="1"/>
    <xf numFmtId="179" fontId="0" fillId="28" borderId="0" xfId="0" applyNumberFormat="1" applyFill="1"/>
    <xf numFmtId="0" fontId="4" fillId="2" borderId="0" xfId="284" applyFill="1"/>
    <xf numFmtId="9" fontId="0" fillId="2" borderId="0" xfId="0" applyNumberFormat="1" applyFill="1"/>
    <xf numFmtId="0" fontId="1" fillId="0" borderId="0" xfId="0" applyFont="1" applyFill="1"/>
    <xf numFmtId="0" fontId="0" fillId="0" borderId="0" xfId="0" applyFont="1" applyFill="1"/>
    <xf numFmtId="0" fontId="0" fillId="32" borderId="0" xfId="0" applyFont="1" applyFill="1"/>
    <xf numFmtId="186" fontId="0" fillId="0" borderId="0" xfId="0" applyNumberFormat="1"/>
    <xf numFmtId="186" fontId="0" fillId="32" borderId="0" xfId="0" applyNumberFormat="1" applyFont="1" applyFill="1"/>
    <xf numFmtId="186" fontId="1" fillId="32" borderId="0" xfId="0" applyNumberFormat="1" applyFont="1" applyFill="1"/>
    <xf numFmtId="0" fontId="0" fillId="32" borderId="0" xfId="0" applyFill="1"/>
    <xf numFmtId="0" fontId="1" fillId="32" borderId="0" xfId="0" applyFont="1" applyFill="1"/>
    <xf numFmtId="0" fontId="1" fillId="28" borderId="0" xfId="0" applyFont="1" applyFill="1" applyAlignment="1">
      <alignment horizontal="center"/>
    </xf>
    <xf numFmtId="0" fontId="44" fillId="28" borderId="0" xfId="0" applyFont="1" applyFill="1" applyAlignment="1">
      <alignment horizontal="center" vertical="center"/>
    </xf>
    <xf numFmtId="49" fontId="47" fillId="29" borderId="14" xfId="3" applyNumberFormat="1" applyFont="1" applyFill="1" applyBorder="1" applyAlignment="1" applyProtection="1">
      <alignment horizontal="center" vertical="center"/>
      <protection locked="0"/>
    </xf>
    <xf numFmtId="0" fontId="53" fillId="28" borderId="32" xfId="0" applyFont="1" applyFill="1" applyBorder="1" applyAlignment="1">
      <alignment horizontal="center" wrapText="1"/>
    </xf>
    <xf numFmtId="0" fontId="53" fillId="28" borderId="36" xfId="0" applyFont="1" applyFill="1" applyBorder="1" applyAlignment="1">
      <alignment horizontal="center" wrapText="1"/>
    </xf>
    <xf numFmtId="0" fontId="53" fillId="28" borderId="33" xfId="0" applyFont="1" applyFill="1" applyBorder="1" applyAlignment="1">
      <alignment wrapText="1"/>
    </xf>
    <xf numFmtId="0" fontId="53" fillId="28" borderId="34" xfId="0" applyFont="1" applyFill="1" applyBorder="1" applyAlignment="1">
      <alignment wrapText="1"/>
    </xf>
    <xf numFmtId="0" fontId="53" fillId="28" borderId="35" xfId="0" applyFont="1" applyFill="1" applyBorder="1" applyAlignment="1">
      <alignment wrapText="1"/>
    </xf>
    <xf numFmtId="0" fontId="54" fillId="0" borderId="33" xfId="0" applyFont="1" applyFill="1" applyBorder="1" applyAlignment="1">
      <alignment wrapText="1"/>
    </xf>
    <xf numFmtId="0" fontId="54" fillId="0" borderId="35" xfId="0" applyFont="1" applyFill="1" applyBorder="1" applyAlignment="1">
      <alignment wrapText="1"/>
    </xf>
    <xf numFmtId="0" fontId="54" fillId="0" borderId="34" xfId="0" applyFont="1" applyFill="1" applyBorder="1" applyAlignment="1">
      <alignment wrapText="1"/>
    </xf>
  </cellXfs>
  <cellStyles count="289">
    <cellStyle name="%" xfId="69" xr:uid="{00000000-0005-0000-0000-000000000000}"/>
    <cellStyle name="20% - Accent1 2" xfId="211" xr:uid="{00000000-0005-0000-0000-000001000000}"/>
    <cellStyle name="20% - Accent1 2 2" xfId="269" xr:uid="{00000000-0005-0000-0000-000002000000}"/>
    <cellStyle name="20% - Accent1 2 2 2" xfId="252" xr:uid="{00000000-0005-0000-0000-000003000000}"/>
    <cellStyle name="20% - Accent1 2 2 3" xfId="121" xr:uid="{00000000-0005-0000-0000-000004000000}"/>
    <cellStyle name="20% - Accent2 2" xfId="71" xr:uid="{00000000-0005-0000-0000-000005000000}"/>
    <cellStyle name="20% - Accent2 2 2" xfId="246" xr:uid="{00000000-0005-0000-0000-000006000000}"/>
    <cellStyle name="20% - Accent2 2 2 2" xfId="190" xr:uid="{00000000-0005-0000-0000-000007000000}"/>
    <cellStyle name="20% - Accent2 2 2 3" xfId="264" xr:uid="{00000000-0005-0000-0000-000008000000}"/>
    <cellStyle name="20% - Accent3 2" xfId="51" xr:uid="{00000000-0005-0000-0000-000009000000}"/>
    <cellStyle name="20% - Accent3 2 2" xfId="68" xr:uid="{00000000-0005-0000-0000-00000A000000}"/>
    <cellStyle name="20% - Accent3 2 2 2" xfId="158" xr:uid="{00000000-0005-0000-0000-00000B000000}"/>
    <cellStyle name="20% - Accent3 2 2 3" xfId="28" xr:uid="{00000000-0005-0000-0000-00000C000000}"/>
    <cellStyle name="20% - Accent4 2" xfId="145" xr:uid="{00000000-0005-0000-0000-00000D000000}"/>
    <cellStyle name="20% - Accent4 2 2" xfId="251" xr:uid="{00000000-0005-0000-0000-00000E000000}"/>
    <cellStyle name="20% - Accent4 2 2 2" xfId="94" xr:uid="{00000000-0005-0000-0000-00000F000000}"/>
    <cellStyle name="20% - Accent4 2 2 3" xfId="115" xr:uid="{00000000-0005-0000-0000-000010000000}"/>
    <cellStyle name="20% - Accent5 2" xfId="261" xr:uid="{00000000-0005-0000-0000-000011000000}"/>
    <cellStyle name="20% - Accent5 2 2" xfId="140" xr:uid="{00000000-0005-0000-0000-000012000000}"/>
    <cellStyle name="20% - Accent5 2 2 2" xfId="97" xr:uid="{00000000-0005-0000-0000-000013000000}"/>
    <cellStyle name="20% - Accent5 2 2 3" xfId="60" xr:uid="{00000000-0005-0000-0000-000014000000}"/>
    <cellStyle name="20% - Accent6 2" xfId="29" xr:uid="{00000000-0005-0000-0000-000015000000}"/>
    <cellStyle name="20% - Accent6 2 2" xfId="64" xr:uid="{00000000-0005-0000-0000-000016000000}"/>
    <cellStyle name="20% - Accent6 2 2 2" xfId="174" xr:uid="{00000000-0005-0000-0000-000017000000}"/>
    <cellStyle name="20% - Accent6 2 2 3" xfId="240" xr:uid="{00000000-0005-0000-0000-000018000000}"/>
    <cellStyle name="40% - Accent1 2" xfId="24" xr:uid="{00000000-0005-0000-0000-000019000000}"/>
    <cellStyle name="40% - Accent1 2 2" xfId="33" xr:uid="{00000000-0005-0000-0000-00001A000000}"/>
    <cellStyle name="40% - Accent1 2 2 2" xfId="254" xr:uid="{00000000-0005-0000-0000-00001B000000}"/>
    <cellStyle name="40% - Accent1 2 2 3" xfId="256" xr:uid="{00000000-0005-0000-0000-00001C000000}"/>
    <cellStyle name="40% - Accent2 2" xfId="99" xr:uid="{00000000-0005-0000-0000-00001D000000}"/>
    <cellStyle name="40% - Accent2 2 2" xfId="260" xr:uid="{00000000-0005-0000-0000-00001E000000}"/>
    <cellStyle name="40% - Accent2 2 2 2" xfId="157" xr:uid="{00000000-0005-0000-0000-00001F000000}"/>
    <cellStyle name="40% - Accent2 2 2 3" xfId="162" xr:uid="{00000000-0005-0000-0000-000020000000}"/>
    <cellStyle name="40% - Accent3 2" xfId="118" xr:uid="{00000000-0005-0000-0000-000021000000}"/>
    <cellStyle name="40% - Accent3 2 2" xfId="235" xr:uid="{00000000-0005-0000-0000-000022000000}"/>
    <cellStyle name="40% - Accent3 2 2 2" xfId="237" xr:uid="{00000000-0005-0000-0000-000023000000}"/>
    <cellStyle name="40% - Accent3 2 2 3" xfId="120" xr:uid="{00000000-0005-0000-0000-000024000000}"/>
    <cellStyle name="40% - Accent4 2" xfId="104" xr:uid="{00000000-0005-0000-0000-000025000000}"/>
    <cellStyle name="40% - Accent4 2 2" xfId="130" xr:uid="{00000000-0005-0000-0000-000026000000}"/>
    <cellStyle name="40% - Accent4 2 2 2" xfId="32" xr:uid="{00000000-0005-0000-0000-000027000000}"/>
    <cellStyle name="40% - Accent4 2 2 3" xfId="224" xr:uid="{00000000-0005-0000-0000-000028000000}"/>
    <cellStyle name="40% - Accent5 2" xfId="61" xr:uid="{00000000-0005-0000-0000-000029000000}"/>
    <cellStyle name="40% - Accent5 2 2" xfId="76" xr:uid="{00000000-0005-0000-0000-00002A000000}"/>
    <cellStyle name="40% - Accent5 2 2 2" xfId="275" xr:uid="{00000000-0005-0000-0000-00002B000000}"/>
    <cellStyle name="40% - Accent5 2 2 3" xfId="149" xr:uid="{00000000-0005-0000-0000-00002C000000}"/>
    <cellStyle name="40% - Accent6 2" xfId="87" xr:uid="{00000000-0005-0000-0000-00002D000000}"/>
    <cellStyle name="40% - Accent6 2 2" xfId="155" xr:uid="{00000000-0005-0000-0000-00002E000000}"/>
    <cellStyle name="40% - Accent6 2 2 2" xfId="217" xr:uid="{00000000-0005-0000-0000-00002F000000}"/>
    <cellStyle name="40% - Accent6 2 2 3" xfId="233" xr:uid="{00000000-0005-0000-0000-000030000000}"/>
    <cellStyle name="5x indented GHG Textfiels" xfId="198" xr:uid="{00000000-0005-0000-0000-000031000000}"/>
    <cellStyle name="60% - Accent1 2" xfId="119" xr:uid="{00000000-0005-0000-0000-000032000000}"/>
    <cellStyle name="60% - Accent1 2 2" xfId="265" xr:uid="{00000000-0005-0000-0000-000033000000}"/>
    <cellStyle name="60% - Accent1 2 2 2" xfId="93" xr:uid="{00000000-0005-0000-0000-000034000000}"/>
    <cellStyle name="60% - Accent1 2 2 3" xfId="227" xr:uid="{00000000-0005-0000-0000-000035000000}"/>
    <cellStyle name="60% - Accent2 2" xfId="85" xr:uid="{00000000-0005-0000-0000-000036000000}"/>
    <cellStyle name="60% - Accent2 2 2" xfId="196" xr:uid="{00000000-0005-0000-0000-000037000000}"/>
    <cellStyle name="60% - Accent2 2 2 2" xfId="136" xr:uid="{00000000-0005-0000-0000-000038000000}"/>
    <cellStyle name="60% - Accent2 2 2 3" xfId="200" xr:uid="{00000000-0005-0000-0000-000039000000}"/>
    <cellStyle name="60% - Accent3 2" xfId="14" xr:uid="{00000000-0005-0000-0000-00003A000000}"/>
    <cellStyle name="60% - Accent3 2 2" xfId="49" xr:uid="{00000000-0005-0000-0000-00003B000000}"/>
    <cellStyle name="60% - Accent3 2 2 2" xfId="19" xr:uid="{00000000-0005-0000-0000-00003C000000}"/>
    <cellStyle name="60% - Accent3 2 2 3" xfId="86" xr:uid="{00000000-0005-0000-0000-00003D000000}"/>
    <cellStyle name="60% - Accent4 2" xfId="238" xr:uid="{00000000-0005-0000-0000-00003E000000}"/>
    <cellStyle name="60% - Accent4 2 2" xfId="117" xr:uid="{00000000-0005-0000-0000-00003F000000}"/>
    <cellStyle name="60% - Accent4 2 2 2" xfId="147" xr:uid="{00000000-0005-0000-0000-000040000000}"/>
    <cellStyle name="60% - Accent4 2 2 3" xfId="135" xr:uid="{00000000-0005-0000-0000-000041000000}"/>
    <cellStyle name="60% - Accent5 2" xfId="213" xr:uid="{00000000-0005-0000-0000-000042000000}"/>
    <cellStyle name="60% - Accent5 2 2" xfId="18" xr:uid="{00000000-0005-0000-0000-000043000000}"/>
    <cellStyle name="60% - Accent5 2 2 2" xfId="169" xr:uid="{00000000-0005-0000-0000-000044000000}"/>
    <cellStyle name="60% - Accent5 2 2 3" xfId="230" xr:uid="{00000000-0005-0000-0000-000045000000}"/>
    <cellStyle name="60% - Accent6 2" xfId="195" xr:uid="{00000000-0005-0000-0000-000046000000}"/>
    <cellStyle name="60% - Accent6 2 2" xfId="17" xr:uid="{00000000-0005-0000-0000-000047000000}"/>
    <cellStyle name="60% - Accent6 2 2 2" xfId="12" xr:uid="{00000000-0005-0000-0000-000048000000}"/>
    <cellStyle name="60% - Accent6 2 2 3" xfId="62" xr:uid="{00000000-0005-0000-0000-000049000000}"/>
    <cellStyle name="Accent1 2" xfId="153" xr:uid="{00000000-0005-0000-0000-00004A000000}"/>
    <cellStyle name="Accent1 2 2" xfId="31" xr:uid="{00000000-0005-0000-0000-00004B000000}"/>
    <cellStyle name="Accent1 2 2 2" xfId="101" xr:uid="{00000000-0005-0000-0000-00004C000000}"/>
    <cellStyle name="Accent1 2 2 3" xfId="220" xr:uid="{00000000-0005-0000-0000-00004D000000}"/>
    <cellStyle name="Accent2 2" xfId="167" xr:uid="{00000000-0005-0000-0000-00004E000000}"/>
    <cellStyle name="Accent2 2 2" xfId="181" xr:uid="{00000000-0005-0000-0000-00004F000000}"/>
    <cellStyle name="Accent2 2 2 2" xfId="253" xr:uid="{00000000-0005-0000-0000-000050000000}"/>
    <cellStyle name="Accent2 2 2 3" xfId="113" xr:uid="{00000000-0005-0000-0000-000051000000}"/>
    <cellStyle name="Accent3 2" xfId="272" xr:uid="{00000000-0005-0000-0000-000052000000}"/>
    <cellStyle name="Accent3 2 2" xfId="268" xr:uid="{00000000-0005-0000-0000-000053000000}"/>
    <cellStyle name="Accent3 2 2 2" xfId="37" xr:uid="{00000000-0005-0000-0000-000054000000}"/>
    <cellStyle name="Accent3 2 2 3" xfId="247" xr:uid="{00000000-0005-0000-0000-000055000000}"/>
    <cellStyle name="Accent4 2" xfId="35" xr:uid="{00000000-0005-0000-0000-000056000000}"/>
    <cellStyle name="Accent4 2 2" xfId="170" xr:uid="{00000000-0005-0000-0000-000057000000}"/>
    <cellStyle name="Accent4 2 2 2" xfId="279" xr:uid="{00000000-0005-0000-0000-000058000000}"/>
    <cellStyle name="Accent4 2 2 3" xfId="229" xr:uid="{00000000-0005-0000-0000-000059000000}"/>
    <cellStyle name="Accent5 2" xfId="55" xr:uid="{00000000-0005-0000-0000-00005A000000}"/>
    <cellStyle name="Accent5 2 2" xfId="143" xr:uid="{00000000-0005-0000-0000-00005B000000}"/>
    <cellStyle name="Accent5 2 2 2" xfId="36" xr:uid="{00000000-0005-0000-0000-00005C000000}"/>
    <cellStyle name="Accent5 2 2 3" xfId="132" xr:uid="{00000000-0005-0000-0000-00005D000000}"/>
    <cellStyle name="Accent6 2" xfId="53" xr:uid="{00000000-0005-0000-0000-00005E000000}"/>
    <cellStyle name="Accent6 2 2" xfId="30" xr:uid="{00000000-0005-0000-0000-00005F000000}"/>
    <cellStyle name="Accent6 2 2 2" xfId="205" xr:uid="{00000000-0005-0000-0000-000060000000}"/>
    <cellStyle name="Accent6 2 2 3" xfId="105" xr:uid="{00000000-0005-0000-0000-000061000000}"/>
    <cellStyle name="AggblueCels_1x" xfId="77" xr:uid="{00000000-0005-0000-0000-000062000000}"/>
    <cellStyle name="Bad 2" xfId="258" xr:uid="{00000000-0005-0000-0000-000063000000}"/>
    <cellStyle name="Bad 2 2" xfId="137" xr:uid="{00000000-0005-0000-0000-000064000000}"/>
    <cellStyle name="Bad 2 2 2" xfId="98" xr:uid="{00000000-0005-0000-0000-000065000000}"/>
    <cellStyle name="Bad 2 2 3" xfId="180" xr:uid="{00000000-0005-0000-0000-000066000000}"/>
    <cellStyle name="Bold GHG Numbers (0.00)" xfId="74" xr:uid="{00000000-0005-0000-0000-000067000000}"/>
    <cellStyle name="Calculation 2" xfId="138" xr:uid="{00000000-0005-0000-0000-000068000000}"/>
    <cellStyle name="Calculation 2 2" xfId="165" xr:uid="{00000000-0005-0000-0000-000069000000}"/>
    <cellStyle name="Calculation 2 2 2" xfId="73" xr:uid="{00000000-0005-0000-0000-00006A000000}"/>
    <cellStyle name="Calculation 2 2 2 2" xfId="82" xr:uid="{00000000-0005-0000-0000-00006B000000}"/>
    <cellStyle name="Calculation 2 2 2 3" xfId="177" xr:uid="{00000000-0005-0000-0000-00006C000000}"/>
    <cellStyle name="Calculation 2 3" xfId="16" xr:uid="{00000000-0005-0000-0000-00006D000000}"/>
    <cellStyle name="Calculation 2 3 2" xfId="194" xr:uid="{00000000-0005-0000-0000-00006E000000}"/>
    <cellStyle name="Calculation 2 3 2 2" xfId="218" xr:uid="{00000000-0005-0000-0000-00006F000000}"/>
    <cellStyle name="Calculation 2 3 2 3" xfId="110" xr:uid="{00000000-0005-0000-0000-000070000000}"/>
    <cellStyle name="Calculation 2 4" xfId="80" xr:uid="{00000000-0005-0000-0000-000071000000}"/>
    <cellStyle name="Calculation 2 4 2" xfId="168" xr:uid="{00000000-0005-0000-0000-000072000000}"/>
    <cellStyle name="Calculation 2 4 3" xfId="81" xr:uid="{00000000-0005-0000-0000-000073000000}"/>
    <cellStyle name="Check Cell 2" xfId="179" xr:uid="{00000000-0005-0000-0000-000074000000}"/>
    <cellStyle name="Check Cell 2 2" xfId="52" xr:uid="{00000000-0005-0000-0000-000075000000}"/>
    <cellStyle name="Check Cell 2 2 2" xfId="271" xr:uid="{00000000-0005-0000-0000-000076000000}"/>
    <cellStyle name="Check Cell 2 2 3" xfId="257" xr:uid="{00000000-0005-0000-0000-000077000000}"/>
    <cellStyle name="Comma" xfId="281" builtinId="3"/>
    <cellStyle name="Comma 2" xfId="1" xr:uid="{00000000-0005-0000-0000-000079000000}"/>
    <cellStyle name="Comma 2 2" xfId="27" xr:uid="{00000000-0005-0000-0000-00007A000000}"/>
    <cellStyle name="Comma 2 3" xfId="11" xr:uid="{00000000-0005-0000-0000-00007B000000}"/>
    <cellStyle name="Comma 2 4" xfId="273" xr:uid="{00000000-0005-0000-0000-00007C000000}"/>
    <cellStyle name="Comma 2 5" xfId="286" xr:uid="{0B37AF2A-11CF-4544-83B2-411A5FB21811}"/>
    <cellStyle name="Comma 3" xfId="2" xr:uid="{00000000-0005-0000-0000-00007D000000}"/>
    <cellStyle name="Comma 3 2" xfId="41" xr:uid="{00000000-0005-0000-0000-00007E000000}"/>
    <cellStyle name="Cover" xfId="201" xr:uid="{00000000-0005-0000-0000-000080000000}"/>
    <cellStyle name="Dezimal [0]_Tfz-Anzahl" xfId="232" xr:uid="{00000000-0005-0000-0000-000082000000}"/>
    <cellStyle name="Dezimal_Tfz-Anzahl" xfId="72" xr:uid="{00000000-0005-0000-0000-000083000000}"/>
    <cellStyle name="Euro" xfId="129" xr:uid="{00000000-0005-0000-0000-000084000000}"/>
    <cellStyle name="Euro 2" xfId="209" xr:uid="{00000000-0005-0000-0000-000085000000}"/>
    <cellStyle name="Explanatory Text 2" xfId="15" xr:uid="{00000000-0005-0000-0000-000086000000}"/>
    <cellStyle name="Good 2" xfId="70" xr:uid="{00000000-0005-0000-0000-000087000000}"/>
    <cellStyle name="Good 2 2" xfId="42" xr:uid="{00000000-0005-0000-0000-000088000000}"/>
    <cellStyle name="Good 2 2 2" xfId="276" xr:uid="{00000000-0005-0000-0000-000089000000}"/>
    <cellStyle name="Good 2 2 3" xfId="239" xr:uid="{00000000-0005-0000-0000-00008A000000}"/>
    <cellStyle name="Heading" xfId="223" xr:uid="{00000000-0005-0000-0000-00008B000000}"/>
    <cellStyle name="Heading 1 2" xfId="164" xr:uid="{00000000-0005-0000-0000-00008C000000}"/>
    <cellStyle name="Heading 2 2" xfId="65" xr:uid="{00000000-0005-0000-0000-00008D000000}"/>
    <cellStyle name="Heading 3 2" xfId="75" xr:uid="{00000000-0005-0000-0000-00008E000000}"/>
    <cellStyle name="Heading 4 2" xfId="124" xr:uid="{00000000-0005-0000-0000-00008F000000}"/>
    <cellStyle name="Hyperlink" xfId="284" builtinId="8"/>
    <cellStyle name="Hyperlink 2" xfId="241" xr:uid="{00000000-0005-0000-0000-000091000000}"/>
    <cellStyle name="Hyperlink 2 2" xfId="285" xr:uid="{7FC9004C-67D9-465D-A9F2-FA7A22F3C304}"/>
    <cellStyle name="Hyperlink 3" xfId="40" xr:uid="{00000000-0005-0000-0000-000092000000}"/>
    <cellStyle name="Hyperlink 4" xfId="207" xr:uid="{00000000-0005-0000-0000-000093000000}"/>
    <cellStyle name="Hyperlink 5" xfId="214" xr:uid="{00000000-0005-0000-0000-000094000000}"/>
    <cellStyle name="Hyperlink 6" xfId="133" xr:uid="{00000000-0005-0000-0000-000095000000}"/>
    <cellStyle name="Input 2" xfId="102" xr:uid="{00000000-0005-0000-0000-000096000000}"/>
    <cellStyle name="Input 2 2" xfId="66" xr:uid="{00000000-0005-0000-0000-000097000000}"/>
    <cellStyle name="Input 2 2 2" xfId="259" xr:uid="{00000000-0005-0000-0000-000098000000}"/>
    <cellStyle name="Input 2 2 2 2" xfId="83" xr:uid="{00000000-0005-0000-0000-000099000000}"/>
    <cellStyle name="Input 2 2 2 3" xfId="148" xr:uid="{00000000-0005-0000-0000-00009A000000}"/>
    <cellStyle name="Input 2 3" xfId="249" xr:uid="{00000000-0005-0000-0000-00009B000000}"/>
    <cellStyle name="Input 2 3 2" xfId="100" xr:uid="{00000000-0005-0000-0000-00009C000000}"/>
    <cellStyle name="Input 2 3 2 2" xfId="154" xr:uid="{00000000-0005-0000-0000-00009D000000}"/>
    <cellStyle name="Input 2 3 2 3" xfId="63" xr:uid="{00000000-0005-0000-0000-00009E000000}"/>
    <cellStyle name="Input 2 4" xfId="212" xr:uid="{00000000-0005-0000-0000-00009F000000}"/>
    <cellStyle name="Input 2 4 2" xfId="270" xr:uid="{00000000-0005-0000-0000-0000A0000000}"/>
    <cellStyle name="Input 2 4 3" xfId="197" xr:uid="{00000000-0005-0000-0000-0000A1000000}"/>
    <cellStyle name="InputCells12_BBorder_CRFReport-template" xfId="274" xr:uid="{00000000-0005-0000-0000-0000A2000000}"/>
    <cellStyle name="Linked Cell 2" xfId="103" xr:uid="{00000000-0005-0000-0000-0000A3000000}"/>
    <cellStyle name="Menu" xfId="111" xr:uid="{00000000-0005-0000-0000-0000A4000000}"/>
    <cellStyle name="Milliers [0]_03tabmat" xfId="58" xr:uid="{00000000-0005-0000-0000-0000A5000000}"/>
    <cellStyle name="Milliers_03tabmat" xfId="277" xr:uid="{00000000-0005-0000-0000-0000A6000000}"/>
    <cellStyle name="Monétaire [0]_03tabmat" xfId="59" xr:uid="{00000000-0005-0000-0000-0000A7000000}"/>
    <cellStyle name="Monétaire_03tabmat" xfId="219" xr:uid="{00000000-0005-0000-0000-0000A8000000}"/>
    <cellStyle name="Neutral 2" xfId="21" xr:uid="{00000000-0005-0000-0000-0000A9000000}"/>
    <cellStyle name="Neutral 2 2" xfId="127" xr:uid="{00000000-0005-0000-0000-0000AA000000}"/>
    <cellStyle name="Neutral 2 2 2" xfId="192" xr:uid="{00000000-0005-0000-0000-0000AB000000}"/>
    <cellStyle name="Neutral 2 2 3" xfId="206" xr:uid="{00000000-0005-0000-0000-0000AC000000}"/>
    <cellStyle name="Normal" xfId="0" builtinId="0"/>
    <cellStyle name="Normal 10" xfId="22" xr:uid="{00000000-0005-0000-0000-0000AE000000}"/>
    <cellStyle name="Normal 10 2" xfId="108" xr:uid="{00000000-0005-0000-0000-0000AF000000}"/>
    <cellStyle name="Normal 10 2 2" xfId="160" xr:uid="{00000000-0005-0000-0000-0000B0000000}"/>
    <cellStyle name="Normal 10 3" xfId="221" xr:uid="{00000000-0005-0000-0000-0000B1000000}"/>
    <cellStyle name="Normal 10 3 2" xfId="139" xr:uid="{00000000-0005-0000-0000-0000B2000000}"/>
    <cellStyle name="Normal 10 4" xfId="150" xr:uid="{00000000-0005-0000-0000-0000B3000000}"/>
    <cellStyle name="Normal 11" xfId="189" xr:uid="{00000000-0005-0000-0000-0000B4000000}"/>
    <cellStyle name="Normal 11 2" xfId="112" xr:uid="{00000000-0005-0000-0000-0000B5000000}"/>
    <cellStyle name="Normal 12" xfId="114" xr:uid="{00000000-0005-0000-0000-0000B6000000}"/>
    <cellStyle name="Normal 13" xfId="228" xr:uid="{00000000-0005-0000-0000-0000B7000000}"/>
    <cellStyle name="Normal 13 2" xfId="39" xr:uid="{00000000-0005-0000-0000-0000B8000000}"/>
    <cellStyle name="Normal 13 3" xfId="231" xr:uid="{00000000-0005-0000-0000-0000B9000000}"/>
    <cellStyle name="Normal 14" xfId="234" xr:uid="{00000000-0005-0000-0000-0000BA000000}"/>
    <cellStyle name="Normal 15" xfId="78" xr:uid="{00000000-0005-0000-0000-0000BB000000}"/>
    <cellStyle name="Normal 16" xfId="282" xr:uid="{00000000-0005-0000-0000-0000BC000000}"/>
    <cellStyle name="Normal 17" xfId="267" xr:uid="{00000000-0005-0000-0000-0000BD000000}"/>
    <cellStyle name="Normal 18" xfId="134" xr:uid="{00000000-0005-0000-0000-0000BE000000}"/>
    <cellStyle name="Normal 2" xfId="3" xr:uid="{00000000-0005-0000-0000-0000BF000000}"/>
    <cellStyle name="Normal 2 2" xfId="4" xr:uid="{00000000-0005-0000-0000-0000C0000000}"/>
    <cellStyle name="Normal 2 3" xfId="199" xr:uid="{00000000-0005-0000-0000-0000C1000000}"/>
    <cellStyle name="Normal 2 4" xfId="280" xr:uid="{00000000-0005-0000-0000-0000C2000000}"/>
    <cellStyle name="Normal 3" xfId="5" xr:uid="{00000000-0005-0000-0000-0000C3000000}"/>
    <cellStyle name="Normal 3 2" xfId="50" xr:uid="{00000000-0005-0000-0000-0000C4000000}"/>
    <cellStyle name="Normal 3 3" xfId="188" xr:uid="{00000000-0005-0000-0000-0000C5000000}"/>
    <cellStyle name="Normal 3 4" xfId="46" xr:uid="{00000000-0005-0000-0000-0000C6000000}"/>
    <cellStyle name="Normal 3 5" xfId="106" xr:uid="{00000000-0005-0000-0000-0000C7000000}"/>
    <cellStyle name="Normal 4" xfId="25" xr:uid="{00000000-0005-0000-0000-0000C8000000}"/>
    <cellStyle name="Normal 4 2" xfId="43" xr:uid="{00000000-0005-0000-0000-0000C9000000}"/>
    <cellStyle name="Normal 4 2 2" xfId="34" xr:uid="{00000000-0005-0000-0000-0000CA000000}"/>
    <cellStyle name="Normal 4 3" xfId="203" xr:uid="{00000000-0005-0000-0000-0000CB000000}"/>
    <cellStyle name="Normal 4 3 2" xfId="245" xr:uid="{00000000-0005-0000-0000-0000CC000000}"/>
    <cellStyle name="Normal 4 4" xfId="156" xr:uid="{00000000-0005-0000-0000-0000CD000000}"/>
    <cellStyle name="Normal 4 5" xfId="222" xr:uid="{00000000-0005-0000-0000-0000CE000000}"/>
    <cellStyle name="Normal 4 6" xfId="288" xr:uid="{D7E07D08-4811-42A9-91C3-EE136C0299DE}"/>
    <cellStyle name="Normal 5" xfId="48" xr:uid="{00000000-0005-0000-0000-0000CF000000}"/>
    <cellStyle name="Normal 6" xfId="122" xr:uid="{00000000-0005-0000-0000-0000D0000000}"/>
    <cellStyle name="Normal 7" xfId="116" xr:uid="{00000000-0005-0000-0000-0000D1000000}"/>
    <cellStyle name="Normal 8" xfId="45" xr:uid="{00000000-0005-0000-0000-0000D2000000}"/>
    <cellStyle name="Normal 9" xfId="109" xr:uid="{00000000-0005-0000-0000-0000D3000000}"/>
    <cellStyle name="Normal GHG-Shade" xfId="202" xr:uid="{00000000-0005-0000-0000-0000D4000000}"/>
    <cellStyle name="Note 2" xfId="250" xr:uid="{00000000-0005-0000-0000-0000D7000000}"/>
    <cellStyle name="Note 2 2" xfId="92" xr:uid="{00000000-0005-0000-0000-0000D8000000}"/>
    <cellStyle name="Note 2 2 2" xfId="84" xr:uid="{00000000-0005-0000-0000-0000D9000000}"/>
    <cellStyle name="Note 2 2 2 2" xfId="90" xr:uid="{00000000-0005-0000-0000-0000DA000000}"/>
    <cellStyle name="Note 2 2 2 3" xfId="96" xr:uid="{00000000-0005-0000-0000-0000DB000000}"/>
    <cellStyle name="Note 2 3" xfId="176" xr:uid="{00000000-0005-0000-0000-0000DC000000}"/>
    <cellStyle name="Note 2 3 2" xfId="123" xr:uid="{00000000-0005-0000-0000-0000DD000000}"/>
    <cellStyle name="Note 2 3 3" xfId="225" xr:uid="{00000000-0005-0000-0000-0000DE000000}"/>
    <cellStyle name="Output 2" xfId="91" xr:uid="{00000000-0005-0000-0000-0000DF000000}"/>
    <cellStyle name="Output 2 2" xfId="236" xr:uid="{00000000-0005-0000-0000-0000E0000000}"/>
    <cellStyle name="Output 2 2 2" xfId="244" xr:uid="{00000000-0005-0000-0000-0000E1000000}"/>
    <cellStyle name="Output 2 2 2 2" xfId="172" xr:uid="{00000000-0005-0000-0000-0000E2000000}"/>
    <cellStyle name="Output 2 2 2 3" xfId="171" xr:uid="{00000000-0005-0000-0000-0000E3000000}"/>
    <cellStyle name="Output 2 3" xfId="185" xr:uid="{00000000-0005-0000-0000-0000E4000000}"/>
    <cellStyle name="Output 2 3 2" xfId="125" xr:uid="{00000000-0005-0000-0000-0000E5000000}"/>
    <cellStyle name="Output 2 3 3" xfId="204" xr:uid="{00000000-0005-0000-0000-0000E6000000}"/>
    <cellStyle name="Percent" xfId="283" builtinId="5"/>
    <cellStyle name="Percent 10" xfId="183" xr:uid="{00000000-0005-0000-0000-0000E8000000}"/>
    <cellStyle name="Percent 10 2" xfId="255" xr:uid="{00000000-0005-0000-0000-0000E9000000}"/>
    <cellStyle name="Percent 10 3" xfId="57" xr:uid="{00000000-0005-0000-0000-0000EA000000}"/>
    <cellStyle name="Percent 2" xfId="6" xr:uid="{00000000-0005-0000-0000-0000EB000000}"/>
    <cellStyle name="Percent 2 2" xfId="184" xr:uid="{00000000-0005-0000-0000-0000EC000000}"/>
    <cellStyle name="Percent 2 3" xfId="47" xr:uid="{00000000-0005-0000-0000-0000ED000000}"/>
    <cellStyle name="Percent 2 4" xfId="287" xr:uid="{77278403-7E46-40C4-B8F7-E1C3A60890F8}"/>
    <cellStyle name="Percent 3" xfId="7" xr:uid="{00000000-0005-0000-0000-0000EE000000}"/>
    <cellStyle name="Percent 3 2" xfId="88" xr:uid="{00000000-0005-0000-0000-0000EF000000}"/>
    <cellStyle name="Percent 4" xfId="152" xr:uid="{00000000-0005-0000-0000-0000F0000000}"/>
    <cellStyle name="Percent 5" xfId="243" xr:uid="{00000000-0005-0000-0000-0000F1000000}"/>
    <cellStyle name="Percent 5 2" xfId="226" xr:uid="{00000000-0005-0000-0000-0000F2000000}"/>
    <cellStyle name="Percent 6" xfId="128" xr:uid="{00000000-0005-0000-0000-0000F3000000}"/>
    <cellStyle name="Percent 7" xfId="187" xr:uid="{00000000-0005-0000-0000-0000F4000000}"/>
    <cellStyle name="Percent 8" xfId="215" xr:uid="{00000000-0005-0000-0000-0000F5000000}"/>
    <cellStyle name="Percent 9" xfId="151" xr:uid="{00000000-0005-0000-0000-0000F6000000}"/>
    <cellStyle name="Publication_style" xfId="191" xr:uid="{00000000-0005-0000-0000-0000F7000000}"/>
    <cellStyle name="Refdb standard" xfId="262" xr:uid="{00000000-0005-0000-0000-0000F8000000}"/>
    <cellStyle name="Refdb standard 2" xfId="10" xr:uid="{00000000-0005-0000-0000-0000F9000000}"/>
    <cellStyle name="Shade" xfId="193" xr:uid="{00000000-0005-0000-0000-0000FA000000}"/>
    <cellStyle name="Shade 2" xfId="210" xr:uid="{00000000-0005-0000-0000-0000FB000000}"/>
    <cellStyle name="Shade 3" xfId="144" xr:uid="{00000000-0005-0000-0000-0000FC000000}"/>
    <cellStyle name="Source" xfId="186" xr:uid="{00000000-0005-0000-0000-0000FD000000}"/>
    <cellStyle name="Source Hed" xfId="242" xr:uid="{00000000-0005-0000-0000-0000FE000000}"/>
    <cellStyle name="Source Text" xfId="67" xr:uid="{00000000-0005-0000-0000-0000FF000000}"/>
    <cellStyle name="Standard_E00seit45" xfId="178" xr:uid="{00000000-0005-0000-0000-000000010000}"/>
    <cellStyle name="Style 21" xfId="131" xr:uid="{00000000-0005-0000-0000-000001010000}"/>
    <cellStyle name="Style 21 2" xfId="146" xr:uid="{00000000-0005-0000-0000-000002010000}"/>
    <cellStyle name="Style 22" xfId="166" xr:uid="{00000000-0005-0000-0000-000003010000}"/>
    <cellStyle name="Style 22 2" xfId="79" xr:uid="{00000000-0005-0000-0000-000004010000}"/>
    <cellStyle name="Style 23" xfId="8" xr:uid="{00000000-0005-0000-0000-000005010000}"/>
    <cellStyle name="Style 23 2" xfId="95" xr:uid="{00000000-0005-0000-0000-000006010000}"/>
    <cellStyle name="Style 24" xfId="89" xr:uid="{00000000-0005-0000-0000-000007010000}"/>
    <cellStyle name="Style 24 2" xfId="278" xr:uid="{00000000-0005-0000-0000-000008010000}"/>
    <cellStyle name="Style 29" xfId="175" xr:uid="{00000000-0005-0000-0000-000009010000}"/>
    <cellStyle name="Style 29 2" xfId="248" xr:uid="{00000000-0005-0000-0000-00000A010000}"/>
    <cellStyle name="Style 30" xfId="38" xr:uid="{00000000-0005-0000-0000-00000B010000}"/>
    <cellStyle name="Style 30 2" xfId="208" xr:uid="{00000000-0005-0000-0000-00000C010000}"/>
    <cellStyle name="Style 31" xfId="126" xr:uid="{00000000-0005-0000-0000-00000D010000}"/>
    <cellStyle name="Style 31 2" xfId="161" xr:uid="{00000000-0005-0000-0000-00000E010000}"/>
    <cellStyle name="Style 32" xfId="44" xr:uid="{00000000-0005-0000-0000-00000F010000}"/>
    <cellStyle name="Style 32 2" xfId="263" xr:uid="{00000000-0005-0000-0000-000010010000}"/>
    <cellStyle name="Title 2" xfId="182" xr:uid="{00000000-0005-0000-0000-000011010000}"/>
    <cellStyle name="Title-1" xfId="23" xr:uid="{00000000-0005-0000-0000-000012010000}"/>
    <cellStyle name="Title-2" xfId="20" xr:uid="{00000000-0005-0000-0000-000013010000}"/>
    <cellStyle name="Titre ligne" xfId="173" xr:uid="{00000000-0005-0000-0000-000014010000}"/>
    <cellStyle name="Total 2" xfId="216" xr:uid="{00000000-0005-0000-0000-000015010000}"/>
    <cellStyle name="Total 2 2" xfId="163" xr:uid="{00000000-0005-0000-0000-000016010000}"/>
    <cellStyle name="Total intermediaire" xfId="54" xr:uid="{00000000-0005-0000-0000-000017010000}"/>
    <cellStyle name="Tusenskille [0]_rob4-mon.xls Diagram 1" xfId="9" xr:uid="{00000000-0005-0000-0000-000018010000}"/>
    <cellStyle name="Tusenskille_rob4-mon.xls Diagram 1" xfId="107" xr:uid="{00000000-0005-0000-0000-000019010000}"/>
    <cellStyle name="Valuta [0]_rob4-mon.xls Diagram 1" xfId="56" xr:uid="{00000000-0005-0000-0000-00001A010000}"/>
    <cellStyle name="Valuta_rob4-mon.xls Diagram 1" xfId="142" xr:uid="{00000000-0005-0000-0000-00001B010000}"/>
    <cellStyle name="Währung [0]_Excel2" xfId="13" xr:uid="{00000000-0005-0000-0000-00001C010000}"/>
    <cellStyle name="Währung_Excel2" xfId="159" xr:uid="{00000000-0005-0000-0000-00001D010000}"/>
    <cellStyle name="Warning Text 2" xfId="26" xr:uid="{00000000-0005-0000-0000-00001E010000}"/>
    <cellStyle name="Year" xfId="266" xr:uid="{00000000-0005-0000-0000-00001F010000}"/>
    <cellStyle name="Обычный_2++_CRFReport-template" xfId="141" xr:uid="{00000000-0005-0000-0000-00002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walking-and-cycling-statistic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ebarchive.nationalarchives.gov.uk/+/http:/www.dft.gov.uk/pgr/regional/smart-integrated-ticketing/pdf/smart-ticketing.pdf" TargetMode="External"/><Relationship Id="rId2" Type="http://schemas.openxmlformats.org/officeDocument/2006/relationships/hyperlink" Target="https://www.gov.uk/government/uploads/system/uploads/attachment_data/file/560588/bus0304.ods" TargetMode="External"/><Relationship Id="rId1" Type="http://schemas.openxmlformats.org/officeDocument/2006/relationships/hyperlink" Target="http://webarchive.nationalarchives.gov.uk/+/http:/www.dft.gov.uk/pgr/regional/smart-integrated-ticketing/pdf/smart-ticketing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trl.co.uk/sites/default/files/TRL409.pdf" TargetMode="External"/><Relationship Id="rId4" Type="http://schemas.openxmlformats.org/officeDocument/2006/relationships/hyperlink" Target="http://www.its.leeds.ac.uk/projects/konsult/private/level2/instruments/instrument014/l2_014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zoomScale="70" zoomScaleNormal="70" workbookViewId="0">
      <selection activeCell="A17" sqref="A17"/>
    </sheetView>
  </sheetViews>
  <sheetFormatPr defaultRowHeight="14.4" x14ac:dyDescent="0.3"/>
  <cols>
    <col min="1" max="1" width="63" customWidth="1"/>
    <col min="2" max="2" width="63" style="3" customWidth="1"/>
    <col min="3" max="3" width="16.77734375" style="3" bestFit="1" customWidth="1"/>
    <col min="4" max="4" width="20.5546875" style="3" customWidth="1"/>
    <col min="5" max="5" width="20.5546875" customWidth="1"/>
    <col min="6" max="6" width="114.6640625" bestFit="1" customWidth="1"/>
  </cols>
  <sheetData>
    <row r="1" spans="1:6" s="3" customFormat="1" ht="21" x14ac:dyDescent="0.4">
      <c r="A1" s="7" t="s">
        <v>0</v>
      </c>
      <c r="B1" s="7"/>
      <c r="C1" s="7"/>
      <c r="D1" s="7"/>
    </row>
    <row r="3" spans="1:6" s="5" customFormat="1" x14ac:dyDescent="0.3">
      <c r="A3" s="4" t="s">
        <v>24</v>
      </c>
      <c r="B3" s="4"/>
      <c r="C3" s="4"/>
      <c r="D3" s="4"/>
    </row>
    <row r="4" spans="1:6" ht="8.25" customHeight="1" x14ac:dyDescent="0.3"/>
    <row r="5" spans="1:6" s="3" customFormat="1" x14ac:dyDescent="0.3">
      <c r="A5" s="6" t="s">
        <v>1</v>
      </c>
      <c r="B5" s="6"/>
      <c r="C5" s="6"/>
      <c r="D5" s="6"/>
      <c r="E5" s="6"/>
    </row>
    <row r="6" spans="1:6" s="3" customFormat="1" ht="15.75" customHeight="1" x14ac:dyDescent="0.3">
      <c r="A6" s="6" t="s">
        <v>8</v>
      </c>
      <c r="B6" s="6"/>
      <c r="C6" s="6"/>
      <c r="D6" s="6"/>
      <c r="E6" s="6"/>
    </row>
    <row r="7" spans="1:6" s="14" customFormat="1" ht="9" customHeight="1" x14ac:dyDescent="0.3"/>
    <row r="8" spans="1:6" s="3" customFormat="1" ht="17.399999999999999" customHeight="1" x14ac:dyDescent="0.3">
      <c r="C8" s="120" t="s">
        <v>27</v>
      </c>
      <c r="D8" s="120"/>
      <c r="E8" s="120"/>
      <c r="F8" s="121" t="s">
        <v>30</v>
      </c>
    </row>
    <row r="9" spans="1:6" ht="28.8" x14ac:dyDescent="0.3">
      <c r="A9" s="1" t="s">
        <v>2</v>
      </c>
      <c r="B9" s="1" t="s">
        <v>12</v>
      </c>
      <c r="C9" s="10" t="s">
        <v>6</v>
      </c>
      <c r="D9" s="10" t="s">
        <v>7</v>
      </c>
      <c r="E9" s="10" t="s">
        <v>20</v>
      </c>
      <c r="F9" s="121"/>
    </row>
    <row r="10" spans="1:6" x14ac:dyDescent="0.3">
      <c r="A10" t="s">
        <v>13</v>
      </c>
      <c r="B10" s="3" t="s">
        <v>14</v>
      </c>
      <c r="C10" s="8">
        <v>473</v>
      </c>
      <c r="D10" s="8">
        <f>C10*2</f>
        <v>946</v>
      </c>
      <c r="E10" s="8">
        <f>C10+((D10-C10)/2)</f>
        <v>709.5</v>
      </c>
      <c r="F10" t="s">
        <v>31</v>
      </c>
    </row>
    <row r="11" spans="1:6" s="3" customFormat="1" x14ac:dyDescent="0.3">
      <c r="A11" s="3" t="s">
        <v>17</v>
      </c>
      <c r="B11" s="3" t="s">
        <v>18</v>
      </c>
      <c r="C11" s="8">
        <v>360</v>
      </c>
      <c r="D11" s="8">
        <f>C11*2</f>
        <v>720</v>
      </c>
      <c r="E11" s="8">
        <f t="shared" ref="E11:E16" si="0">C11+((D11-C11)/2)</f>
        <v>540</v>
      </c>
      <c r="F11" s="3" t="s">
        <v>32</v>
      </c>
    </row>
    <row r="12" spans="1:6" x14ac:dyDescent="0.3">
      <c r="A12" t="s">
        <v>16</v>
      </c>
      <c r="B12" s="3" t="s">
        <v>15</v>
      </c>
      <c r="C12" s="8">
        <f>74+26+71+25</f>
        <v>196</v>
      </c>
      <c r="D12" s="11">
        <f>134+52+109+62</f>
        <v>357</v>
      </c>
      <c r="E12" s="8">
        <f t="shared" si="0"/>
        <v>276.5</v>
      </c>
      <c r="F12" t="s">
        <v>33</v>
      </c>
    </row>
    <row r="13" spans="1:6" x14ac:dyDescent="0.3">
      <c r="A13" t="s">
        <v>3</v>
      </c>
      <c r="B13" s="3" t="s">
        <v>11</v>
      </c>
      <c r="C13" s="8">
        <v>358</v>
      </c>
      <c r="D13" s="8">
        <f>C13*2</f>
        <v>716</v>
      </c>
      <c r="E13" s="8">
        <f t="shared" si="0"/>
        <v>537</v>
      </c>
      <c r="F13" t="s">
        <v>34</v>
      </c>
    </row>
    <row r="14" spans="1:6" x14ac:dyDescent="0.3">
      <c r="A14" t="s">
        <v>25</v>
      </c>
      <c r="B14" s="3" t="s">
        <v>26</v>
      </c>
      <c r="C14" s="8">
        <f>75+188+361</f>
        <v>624</v>
      </c>
      <c r="D14" s="8">
        <f>166+286+690</f>
        <v>1142</v>
      </c>
      <c r="E14" s="8">
        <f t="shared" si="0"/>
        <v>883</v>
      </c>
      <c r="F14" s="3" t="s">
        <v>33</v>
      </c>
    </row>
    <row r="15" spans="1:6" x14ac:dyDescent="0.3">
      <c r="A15" t="s">
        <v>4</v>
      </c>
      <c r="B15" s="3" t="s">
        <v>10</v>
      </c>
      <c r="C15" s="12">
        <f>34*1.2</f>
        <v>40.799999999999997</v>
      </c>
      <c r="D15" s="8">
        <f>69*1.2</f>
        <v>82.8</v>
      </c>
      <c r="E15" s="8">
        <f>C15+((D15-C15)/2)</f>
        <v>61.8</v>
      </c>
      <c r="F15" s="3" t="s">
        <v>35</v>
      </c>
    </row>
    <row r="16" spans="1:6" x14ac:dyDescent="0.3">
      <c r="A16" t="s">
        <v>5</v>
      </c>
      <c r="B16" s="3" t="s">
        <v>9</v>
      </c>
      <c r="C16" s="12">
        <f>108*1.2</f>
        <v>129.6</v>
      </c>
      <c r="D16" s="8">
        <f>169*1.2</f>
        <v>202.79999999999998</v>
      </c>
      <c r="E16" s="8">
        <f t="shared" si="0"/>
        <v>166.2</v>
      </c>
      <c r="F16" s="3" t="s">
        <v>35</v>
      </c>
    </row>
    <row r="17" spans="1:6" s="3" customFormat="1" x14ac:dyDescent="0.3">
      <c r="A17" s="3" t="s">
        <v>28</v>
      </c>
      <c r="B17" s="3" t="s">
        <v>29</v>
      </c>
      <c r="C17" s="12">
        <v>0</v>
      </c>
      <c r="D17" s="8">
        <v>106</v>
      </c>
      <c r="E17" s="8">
        <f>D17/2</f>
        <v>53</v>
      </c>
      <c r="F17" s="3" t="s">
        <v>318</v>
      </c>
    </row>
    <row r="18" spans="1:6" x14ac:dyDescent="0.3">
      <c r="B18" s="1" t="s">
        <v>19</v>
      </c>
      <c r="C18" s="9">
        <f>SUM(C10:C17)</f>
        <v>2181.4</v>
      </c>
      <c r="D18" s="9">
        <f t="shared" ref="D18:E18" si="1">SUM(D10:D17)</f>
        <v>4272.6000000000004</v>
      </c>
      <c r="E18" s="9">
        <f t="shared" si="1"/>
        <v>3227</v>
      </c>
    </row>
    <row r="19" spans="1:6" ht="100.8" x14ac:dyDescent="0.3">
      <c r="C19" s="13" t="s">
        <v>22</v>
      </c>
      <c r="D19" s="13" t="s">
        <v>23</v>
      </c>
      <c r="E19" s="13" t="s">
        <v>21</v>
      </c>
      <c r="F19" s="2"/>
    </row>
  </sheetData>
  <mergeCells count="2">
    <mergeCell ref="C8:E8"/>
    <mergeCell ref="F8:F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8899-3728-45FB-89B6-749761BCFC2F}">
  <dimension ref="A1:O125"/>
  <sheetViews>
    <sheetView tabSelected="1" topLeftCell="A40" zoomScale="85" zoomScaleNormal="85" workbookViewId="0">
      <selection activeCell="E59" sqref="E59"/>
    </sheetView>
  </sheetViews>
  <sheetFormatPr defaultRowHeight="14.4" x14ac:dyDescent="0.3"/>
  <cols>
    <col min="1" max="1" width="32.77734375" style="3" customWidth="1"/>
    <col min="2" max="2" width="29.6640625" style="3" customWidth="1"/>
    <col min="3" max="3" width="19.33203125" style="3" customWidth="1"/>
    <col min="4" max="4" width="22" style="3" bestFit="1" customWidth="1"/>
    <col min="5" max="5" width="18.5546875" style="3" customWidth="1"/>
    <col min="6" max="6" width="22" style="3" bestFit="1" customWidth="1"/>
    <col min="7" max="7" width="15.77734375" style="3" customWidth="1"/>
    <col min="8" max="8" width="12.77734375" style="3" customWidth="1"/>
    <col min="9" max="9" width="14.6640625" style="3" customWidth="1"/>
    <col min="10" max="10" width="12.77734375" style="3" customWidth="1"/>
    <col min="11" max="11" width="26.21875" style="3" bestFit="1" customWidth="1"/>
    <col min="12" max="16384" width="8.88671875" style="3"/>
  </cols>
  <sheetData>
    <row r="1" spans="1:12" x14ac:dyDescent="0.3">
      <c r="A1" s="1" t="s">
        <v>36</v>
      </c>
    </row>
    <row r="3" spans="1:12" x14ac:dyDescent="0.3">
      <c r="A3" s="3" t="s">
        <v>37</v>
      </c>
      <c r="J3" s="3" t="s">
        <v>38</v>
      </c>
      <c r="K3" s="3" t="s">
        <v>39</v>
      </c>
      <c r="L3" s="19" t="s">
        <v>40</v>
      </c>
    </row>
    <row r="4" spans="1:12" ht="15" thickBot="1" x14ac:dyDescent="0.35">
      <c r="A4" s="3" t="s">
        <v>41</v>
      </c>
    </row>
    <row r="5" spans="1:12" x14ac:dyDescent="0.3">
      <c r="A5" s="20"/>
      <c r="B5" s="21"/>
      <c r="C5" s="21"/>
      <c r="D5" s="122" t="s">
        <v>42</v>
      </c>
      <c r="E5" s="122"/>
      <c r="F5" s="122"/>
      <c r="G5" s="122"/>
    </row>
    <row r="6" spans="1:12" ht="27.6" thickBot="1" x14ac:dyDescent="0.35">
      <c r="A6" s="22" t="s">
        <v>43</v>
      </c>
      <c r="B6" s="23" t="s">
        <v>44</v>
      </c>
      <c r="C6" s="24" t="s">
        <v>45</v>
      </c>
      <c r="D6" s="25" t="s">
        <v>46</v>
      </c>
      <c r="E6" s="25" t="s">
        <v>47</v>
      </c>
      <c r="F6" s="25" t="s">
        <v>48</v>
      </c>
      <c r="G6" s="25" t="s">
        <v>49</v>
      </c>
    </row>
    <row r="7" spans="1:12" x14ac:dyDescent="0.3">
      <c r="A7" s="26" t="s">
        <v>50</v>
      </c>
      <c r="B7" s="27" t="s">
        <v>51</v>
      </c>
      <c r="C7" s="27"/>
      <c r="D7" s="28">
        <v>12.1685</v>
      </c>
      <c r="E7" s="28">
        <v>8.0620999999999992</v>
      </c>
      <c r="F7" s="28">
        <v>3.5291000000000001</v>
      </c>
      <c r="G7" s="28">
        <v>1.9520999999999999</v>
      </c>
    </row>
    <row r="8" spans="1:12" x14ac:dyDescent="0.3">
      <c r="A8" s="26" t="s">
        <v>52</v>
      </c>
      <c r="B8" s="27" t="s">
        <v>53</v>
      </c>
      <c r="C8" s="27"/>
      <c r="D8" s="28">
        <v>13.680200000000001</v>
      </c>
      <c r="E8" s="28">
        <v>9.8891999999999989</v>
      </c>
      <c r="F8" s="28">
        <v>4.7190000000000003</v>
      </c>
      <c r="G8" s="28">
        <v>2.9832000000000001</v>
      </c>
    </row>
    <row r="10" spans="1:12" x14ac:dyDescent="0.3">
      <c r="A10" s="3" t="s">
        <v>54</v>
      </c>
      <c r="K10" s="3" t="s">
        <v>39</v>
      </c>
      <c r="L10" s="3" t="s">
        <v>55</v>
      </c>
    </row>
    <row r="11" spans="1:12" ht="7.2" customHeight="1" thickBot="1" x14ac:dyDescent="0.35"/>
    <row r="12" spans="1:12" x14ac:dyDescent="0.3">
      <c r="A12" s="20"/>
      <c r="B12" s="21"/>
      <c r="C12" s="21"/>
      <c r="D12" s="122" t="s">
        <v>42</v>
      </c>
      <c r="E12" s="122"/>
      <c r="F12" s="122"/>
      <c r="G12" s="122"/>
    </row>
    <row r="13" spans="1:12" ht="27.6" thickBot="1" x14ac:dyDescent="0.35">
      <c r="A13" s="22" t="s">
        <v>43</v>
      </c>
      <c r="B13" s="23" t="s">
        <v>44</v>
      </c>
      <c r="C13" s="24" t="s">
        <v>56</v>
      </c>
      <c r="D13" s="25" t="s">
        <v>46</v>
      </c>
      <c r="E13" s="25" t="s">
        <v>47</v>
      </c>
      <c r="F13" s="25" t="s">
        <v>48</v>
      </c>
      <c r="G13" s="25" t="s">
        <v>49</v>
      </c>
    </row>
    <row r="14" spans="1:12" x14ac:dyDescent="0.3">
      <c r="A14" s="26" t="s">
        <v>50</v>
      </c>
      <c r="B14" s="27" t="s">
        <v>51</v>
      </c>
      <c r="C14" s="29">
        <v>257034</v>
      </c>
      <c r="D14" s="30">
        <f t="shared" ref="D14:G15" si="0">$C14/100*D7</f>
        <v>31277.182290000001</v>
      </c>
      <c r="E14" s="30">
        <f t="shared" si="0"/>
        <v>20722.338113999998</v>
      </c>
      <c r="F14" s="30">
        <f t="shared" si="0"/>
        <v>9070.9868940000015</v>
      </c>
      <c r="G14" s="30">
        <f t="shared" si="0"/>
        <v>5017.5607140000002</v>
      </c>
    </row>
    <row r="15" spans="1:12" x14ac:dyDescent="0.3">
      <c r="A15" s="26" t="s">
        <v>52</v>
      </c>
      <c r="B15" s="27" t="s">
        <v>53</v>
      </c>
      <c r="C15" s="31">
        <v>329200</v>
      </c>
      <c r="D15" s="30">
        <f t="shared" si="0"/>
        <v>45035.218400000005</v>
      </c>
      <c r="E15" s="30">
        <f t="shared" si="0"/>
        <v>32555.246399999996</v>
      </c>
      <c r="F15" s="30">
        <f t="shared" si="0"/>
        <v>15534.948</v>
      </c>
      <c r="G15" s="30">
        <f t="shared" si="0"/>
        <v>9820.6944000000003</v>
      </c>
    </row>
    <row r="17" spans="1:12" x14ac:dyDescent="0.3">
      <c r="A17" s="3" t="s">
        <v>57</v>
      </c>
    </row>
    <row r="18" spans="1:12" ht="7.2" customHeight="1" thickBot="1" x14ac:dyDescent="0.35"/>
    <row r="19" spans="1:12" x14ac:dyDescent="0.3">
      <c r="A19" s="20"/>
      <c r="B19" s="21"/>
      <c r="C19" s="21"/>
      <c r="D19" s="122" t="s">
        <v>58</v>
      </c>
      <c r="E19" s="122"/>
      <c r="F19" s="122"/>
      <c r="G19" s="122"/>
      <c r="H19" s="122"/>
      <c r="I19" s="122"/>
    </row>
    <row r="20" spans="1:12" ht="27.6" thickBot="1" x14ac:dyDescent="0.35">
      <c r="A20" s="22" t="s">
        <v>43</v>
      </c>
      <c r="B20" s="23" t="s">
        <v>44</v>
      </c>
      <c r="C20" s="24" t="s">
        <v>56</v>
      </c>
      <c r="D20" s="25" t="s">
        <v>46</v>
      </c>
      <c r="E20" s="25" t="s">
        <v>47</v>
      </c>
      <c r="F20" s="25" t="s">
        <v>48</v>
      </c>
      <c r="G20" s="25" t="s">
        <v>49</v>
      </c>
      <c r="H20" s="32" t="s">
        <v>59</v>
      </c>
      <c r="I20" s="32" t="s">
        <v>60</v>
      </c>
    </row>
    <row r="21" spans="1:12" x14ac:dyDescent="0.3">
      <c r="A21" s="26" t="s">
        <v>50</v>
      </c>
      <c r="B21" s="27" t="s">
        <v>51</v>
      </c>
      <c r="C21" s="29">
        <v>257034</v>
      </c>
      <c r="D21" s="33">
        <f>D14-(E21+F21+G21)</f>
        <v>10554.844176000002</v>
      </c>
      <c r="E21" s="33">
        <f>E14-(F21+G21)</f>
        <v>11651.351219999997</v>
      </c>
      <c r="F21" s="33">
        <f>F14-G21</f>
        <v>4053.4261800000013</v>
      </c>
      <c r="G21" s="33">
        <f>G14</f>
        <v>5017.5607140000002</v>
      </c>
      <c r="H21" s="33">
        <f>SUM(D21:G21)</f>
        <v>31277.182290000001</v>
      </c>
      <c r="I21" s="33">
        <f>C21-H21</f>
        <v>225756.81771</v>
      </c>
    </row>
    <row r="22" spans="1:12" x14ac:dyDescent="0.3">
      <c r="A22" s="26" t="s">
        <v>52</v>
      </c>
      <c r="B22" s="27" t="s">
        <v>53</v>
      </c>
      <c r="C22" s="31">
        <v>329200</v>
      </c>
      <c r="D22" s="33">
        <f>D15-(E22+F22+G22)</f>
        <v>12479.972000000009</v>
      </c>
      <c r="E22" s="33">
        <f>E15-(F22+G22)</f>
        <v>17020.298399999996</v>
      </c>
      <c r="F22" s="33">
        <f>F15-G22</f>
        <v>5714.2536</v>
      </c>
      <c r="G22" s="33">
        <f>G15</f>
        <v>9820.6944000000003</v>
      </c>
      <c r="H22" s="33">
        <f>SUM(D22:G22)</f>
        <v>45035.218400000005</v>
      </c>
      <c r="I22" s="33">
        <f>C22-H22</f>
        <v>284164.78159999999</v>
      </c>
    </row>
    <row r="24" spans="1:12" x14ac:dyDescent="0.3">
      <c r="A24" s="3" t="s">
        <v>61</v>
      </c>
    </row>
    <row r="25" spans="1:12" ht="5.4" customHeight="1" thickBot="1" x14ac:dyDescent="0.35"/>
    <row r="26" spans="1:12" x14ac:dyDescent="0.3">
      <c r="A26" s="20"/>
      <c r="B26" s="21"/>
      <c r="C26" s="21"/>
      <c r="D26" s="122" t="s">
        <v>62</v>
      </c>
      <c r="E26" s="122"/>
      <c r="F26" s="122"/>
      <c r="G26" s="122"/>
      <c r="H26" s="122"/>
    </row>
    <row r="27" spans="1:12" ht="27.6" thickBot="1" x14ac:dyDescent="0.35">
      <c r="A27" s="22" t="s">
        <v>43</v>
      </c>
      <c r="B27" s="23" t="s">
        <v>44</v>
      </c>
      <c r="C27" s="24" t="s">
        <v>56</v>
      </c>
      <c r="D27" s="25">
        <v>12</v>
      </c>
      <c r="E27" s="25">
        <v>52</v>
      </c>
      <c r="F27" s="25">
        <f>3*52</f>
        <v>156</v>
      </c>
      <c r="G27" s="25">
        <f>5*52</f>
        <v>260</v>
      </c>
      <c r="H27" s="32" t="s">
        <v>63</v>
      </c>
    </row>
    <row r="28" spans="1:12" x14ac:dyDescent="0.3">
      <c r="A28" s="26" t="s">
        <v>50</v>
      </c>
      <c r="B28" s="27" t="s">
        <v>51</v>
      </c>
      <c r="C28" s="29">
        <v>257034</v>
      </c>
      <c r="D28" s="33">
        <f>D21*D$27</f>
        <v>126658.13011200003</v>
      </c>
      <c r="E28" s="33">
        <f t="shared" ref="E28:G29" si="1">E21*E$27</f>
        <v>605870.26343999989</v>
      </c>
      <c r="F28" s="33">
        <f t="shared" si="1"/>
        <v>632334.4840800002</v>
      </c>
      <c r="G28" s="33">
        <f t="shared" si="1"/>
        <v>1304565.7856400001</v>
      </c>
      <c r="H28" s="33">
        <f>SUM(D28:G28)</f>
        <v>2669428.6632719999</v>
      </c>
    </row>
    <row r="29" spans="1:12" x14ac:dyDescent="0.3">
      <c r="A29" s="26" t="s">
        <v>52</v>
      </c>
      <c r="B29" s="27" t="s">
        <v>53</v>
      </c>
      <c r="C29" s="31">
        <v>329200</v>
      </c>
      <c r="D29" s="33">
        <f>D22*D$27</f>
        <v>149759.66400000011</v>
      </c>
      <c r="E29" s="33">
        <f t="shared" si="1"/>
        <v>885055.51679999975</v>
      </c>
      <c r="F29" s="33">
        <f t="shared" si="1"/>
        <v>891423.56160000002</v>
      </c>
      <c r="G29" s="33">
        <f t="shared" si="1"/>
        <v>2553380.5440000002</v>
      </c>
      <c r="H29" s="33">
        <f>SUM(D29:G29)</f>
        <v>4479619.2863999996</v>
      </c>
    </row>
    <row r="32" spans="1:12" x14ac:dyDescent="0.3">
      <c r="A32" s="1" t="s">
        <v>64</v>
      </c>
      <c r="K32" s="3" t="s">
        <v>39</v>
      </c>
      <c r="L32" s="3" t="s">
        <v>65</v>
      </c>
    </row>
    <row r="33" spans="1:12" x14ac:dyDescent="0.3">
      <c r="A33" s="34">
        <v>0.31</v>
      </c>
      <c r="B33" s="3" t="s">
        <v>66</v>
      </c>
    </row>
    <row r="34" spans="1:12" x14ac:dyDescent="0.3">
      <c r="A34" s="34">
        <v>0.26</v>
      </c>
      <c r="B34" s="3" t="s">
        <v>67</v>
      </c>
    </row>
    <row r="35" spans="1:12" x14ac:dyDescent="0.3">
      <c r="A35" s="34">
        <v>0.35</v>
      </c>
      <c r="B35" s="3" t="s">
        <v>68</v>
      </c>
    </row>
    <row r="36" spans="1:12" x14ac:dyDescent="0.3">
      <c r="A36" s="34">
        <v>0.46</v>
      </c>
      <c r="B36" s="3" t="s">
        <v>69</v>
      </c>
    </row>
    <row r="37" spans="1:12" x14ac:dyDescent="0.3">
      <c r="A37" s="34">
        <v>0.22</v>
      </c>
      <c r="B37" s="3" t="s">
        <v>70</v>
      </c>
    </row>
    <row r="38" spans="1:12" x14ac:dyDescent="0.3">
      <c r="A38" s="34">
        <v>0.28000000000000003</v>
      </c>
      <c r="B38" s="3" t="s">
        <v>71</v>
      </c>
    </row>
    <row r="39" spans="1:12" x14ac:dyDescent="0.3">
      <c r="A39" s="34">
        <v>0.21</v>
      </c>
      <c r="B39" s="3" t="s">
        <v>72</v>
      </c>
    </row>
    <row r="40" spans="1:12" x14ac:dyDescent="0.3">
      <c r="A40" s="34"/>
    </row>
    <row r="41" spans="1:12" x14ac:dyDescent="0.3">
      <c r="A41" s="1" t="s">
        <v>73</v>
      </c>
    </row>
    <row r="42" spans="1:12" x14ac:dyDescent="0.3">
      <c r="A42" s="35">
        <f>5*'Factors and data'!E63</f>
        <v>8.0467200000000005</v>
      </c>
      <c r="B42" s="3" t="s">
        <v>74</v>
      </c>
      <c r="K42" s="3" t="s">
        <v>39</v>
      </c>
      <c r="L42" s="3" t="s">
        <v>65</v>
      </c>
    </row>
    <row r="43" spans="1:12" x14ac:dyDescent="0.3">
      <c r="A43" s="35">
        <f>'Factors and data'!C65</f>
        <v>5.4717696</v>
      </c>
      <c r="B43" s="3" t="s">
        <v>75</v>
      </c>
    </row>
    <row r="45" spans="1:12" x14ac:dyDescent="0.3">
      <c r="A45" s="1" t="s">
        <v>76</v>
      </c>
      <c r="K45" s="3" t="s">
        <v>39</v>
      </c>
      <c r="L45" s="3" t="s">
        <v>77</v>
      </c>
    </row>
    <row r="46" spans="1:12" ht="7.2" customHeight="1" x14ac:dyDescent="0.3"/>
    <row r="47" spans="1:12" ht="29.4" thickBot="1" x14ac:dyDescent="0.35">
      <c r="B47" s="36" t="s">
        <v>78</v>
      </c>
      <c r="C47" s="36" t="s">
        <v>79</v>
      </c>
      <c r="D47" s="36" t="s">
        <v>80</v>
      </c>
      <c r="E47" s="37" t="s">
        <v>81</v>
      </c>
      <c r="F47" s="37" t="s">
        <v>82</v>
      </c>
      <c r="G47" s="37" t="s">
        <v>83</v>
      </c>
    </row>
    <row r="48" spans="1:12" x14ac:dyDescent="0.3">
      <c r="A48" s="3" t="s">
        <v>84</v>
      </c>
      <c r="B48" s="38">
        <f>2667/12</f>
        <v>222.25</v>
      </c>
      <c r="C48" s="38">
        <f>11702/12</f>
        <v>975.16666666666663</v>
      </c>
      <c r="D48" s="38">
        <f>188/12</f>
        <v>15.666666666666666</v>
      </c>
      <c r="E48" s="38">
        <f>C48/D48</f>
        <v>62.244680851063826</v>
      </c>
      <c r="F48" s="38">
        <f>SUM(35+26+55)/3</f>
        <v>38.666666666666664</v>
      </c>
      <c r="G48" s="38">
        <f>B48/D48</f>
        <v>14.186170212765958</v>
      </c>
    </row>
    <row r="49" spans="1:7" x14ac:dyDescent="0.3">
      <c r="A49" s="3" t="s">
        <v>85</v>
      </c>
      <c r="B49" s="39">
        <f>B48/10*12</f>
        <v>266.70000000000005</v>
      </c>
      <c r="C49" s="39">
        <f>C48/10*12</f>
        <v>1170.2</v>
      </c>
      <c r="D49" s="39">
        <f>D48</f>
        <v>15.666666666666666</v>
      </c>
      <c r="E49" s="39">
        <f>C49/D49</f>
        <v>74.693617021276594</v>
      </c>
      <c r="F49" s="39">
        <f>SUM(35+26+55)/3</f>
        <v>38.666666666666664</v>
      </c>
      <c r="G49" s="39">
        <f>B49/D49</f>
        <v>17.023404255319154</v>
      </c>
    </row>
    <row r="50" spans="1:7" x14ac:dyDescent="0.3">
      <c r="B50" s="38"/>
      <c r="C50" s="38"/>
      <c r="D50" s="38"/>
      <c r="E50" s="38"/>
      <c r="F50" s="38"/>
    </row>
    <row r="51" spans="1:7" x14ac:dyDescent="0.3">
      <c r="A51" s="1" t="s">
        <v>86</v>
      </c>
      <c r="B51" s="38"/>
      <c r="C51" s="38"/>
      <c r="D51" s="38"/>
      <c r="E51" s="38"/>
      <c r="F51" s="38"/>
    </row>
    <row r="53" spans="1:7" ht="15" thickBot="1" x14ac:dyDescent="0.35">
      <c r="B53" s="36" t="s">
        <v>87</v>
      </c>
      <c r="C53" s="36" t="s">
        <v>88</v>
      </c>
      <c r="D53" s="36" t="s">
        <v>89</v>
      </c>
    </row>
    <row r="54" spans="1:7" x14ac:dyDescent="0.3">
      <c r="A54" s="3" t="s">
        <v>51</v>
      </c>
      <c r="B54" s="3">
        <v>200</v>
      </c>
      <c r="C54" s="3">
        <v>225</v>
      </c>
      <c r="D54" s="3">
        <f>C54-B54</f>
        <v>25</v>
      </c>
    </row>
    <row r="55" spans="1:7" x14ac:dyDescent="0.3">
      <c r="A55" s="3" t="s">
        <v>53</v>
      </c>
      <c r="B55" s="3">
        <v>0</v>
      </c>
      <c r="C55" s="3">
        <v>250</v>
      </c>
      <c r="D55" s="3">
        <f>C55-B55</f>
        <v>250</v>
      </c>
    </row>
    <row r="57" spans="1:7" x14ac:dyDescent="0.3">
      <c r="A57" s="1" t="s">
        <v>90</v>
      </c>
    </row>
    <row r="58" spans="1:7" ht="4.2" customHeight="1" x14ac:dyDescent="0.3">
      <c r="A58" s="1"/>
    </row>
    <row r="59" spans="1:7" ht="15" thickBot="1" x14ac:dyDescent="0.35">
      <c r="B59" s="40" t="s">
        <v>91</v>
      </c>
      <c r="C59" s="40" t="s">
        <v>92</v>
      </c>
      <c r="D59" s="40" t="s">
        <v>93</v>
      </c>
      <c r="E59" s="40" t="s">
        <v>94</v>
      </c>
      <c r="F59" s="41" t="s">
        <v>95</v>
      </c>
    </row>
    <row r="60" spans="1:7" x14ac:dyDescent="0.3">
      <c r="A60" s="3" t="s">
        <v>51</v>
      </c>
      <c r="B60" s="8">
        <f>$D54*G49</f>
        <v>425.58510638297884</v>
      </c>
      <c r="C60" s="8">
        <f>B60*$A$33</f>
        <v>131.93138297872343</v>
      </c>
      <c r="D60" s="8">
        <f>$D54*$E$49</f>
        <v>1867.3404255319149</v>
      </c>
      <c r="E60" s="8">
        <f>(D60*$A$42)</f>
        <v>15025.96554893617</v>
      </c>
      <c r="F60" s="8">
        <f>D60*$A$36</f>
        <v>858.97659574468094</v>
      </c>
    </row>
    <row r="61" spans="1:7" x14ac:dyDescent="0.3">
      <c r="A61" s="3" t="s">
        <v>53</v>
      </c>
      <c r="B61" s="42">
        <f>$D55*G49</f>
        <v>4255.8510638297885</v>
      </c>
      <c r="C61" s="8">
        <f t="shared" ref="C61" si="2">B61*$A$33</f>
        <v>1319.3138297872345</v>
      </c>
      <c r="D61" s="8">
        <f>$D55*$E$49</f>
        <v>18673.40425531915</v>
      </c>
      <c r="E61" s="8">
        <f>(D61*$A$42)</f>
        <v>150259.65548936173</v>
      </c>
      <c r="F61" s="8">
        <f>D61*$A$36</f>
        <v>8589.7659574468089</v>
      </c>
    </row>
    <row r="62" spans="1:7" x14ac:dyDescent="0.3">
      <c r="A62" s="3" t="s">
        <v>96</v>
      </c>
      <c r="B62" s="42">
        <f>SUM(B60:B61)</f>
        <v>4681.4361702127671</v>
      </c>
      <c r="C62" s="42">
        <f t="shared" ref="C62:D62" si="3">SUM(C60:C61)</f>
        <v>1451.2452127659578</v>
      </c>
      <c r="D62" s="42">
        <f t="shared" si="3"/>
        <v>20540.744680851065</v>
      </c>
      <c r="E62" s="42">
        <f>SUM(E60:E61)</f>
        <v>165285.62103829789</v>
      </c>
      <c r="F62" s="42">
        <f>SUM(F60:F61)</f>
        <v>9448.7425531914905</v>
      </c>
    </row>
    <row r="63" spans="1:7" x14ac:dyDescent="0.3">
      <c r="B63" s="42"/>
      <c r="C63" s="42"/>
      <c r="D63" s="43"/>
      <c r="E63" s="44"/>
      <c r="F63" s="42"/>
    </row>
    <row r="64" spans="1:7" x14ac:dyDescent="0.3">
      <c r="A64" s="1" t="s">
        <v>97</v>
      </c>
      <c r="B64" s="42"/>
      <c r="C64" s="42"/>
      <c r="D64" s="42"/>
      <c r="E64" s="42"/>
      <c r="F64" s="42"/>
    </row>
    <row r="65" spans="1:6" x14ac:dyDescent="0.3">
      <c r="A65" s="3" t="s">
        <v>98</v>
      </c>
      <c r="B65" s="45">
        <v>1</v>
      </c>
      <c r="C65" s="42"/>
      <c r="D65" s="42"/>
      <c r="E65" s="42"/>
      <c r="F65" s="42"/>
    </row>
    <row r="66" spans="1:6" x14ac:dyDescent="0.3">
      <c r="A66" s="3" t="s">
        <v>99</v>
      </c>
      <c r="B66" s="45">
        <v>1.25</v>
      </c>
      <c r="C66" s="42"/>
      <c r="D66" s="42"/>
      <c r="E66" s="42"/>
      <c r="F66" s="42"/>
    </row>
    <row r="67" spans="1:6" x14ac:dyDescent="0.3">
      <c r="A67" s="3" t="s">
        <v>100</v>
      </c>
      <c r="B67" s="45">
        <v>1.5</v>
      </c>
      <c r="C67" s="42"/>
      <c r="D67" s="42"/>
      <c r="E67" s="42"/>
      <c r="F67" s="42"/>
    </row>
    <row r="68" spans="1:6" x14ac:dyDescent="0.3">
      <c r="A68" s="3" t="s">
        <v>101</v>
      </c>
      <c r="B68" s="34">
        <v>2</v>
      </c>
    </row>
    <row r="69" spans="1:6" x14ac:dyDescent="0.3">
      <c r="B69" s="34"/>
    </row>
    <row r="70" spans="1:6" x14ac:dyDescent="0.3">
      <c r="A70" s="46" t="s">
        <v>102</v>
      </c>
    </row>
    <row r="71" spans="1:6" x14ac:dyDescent="0.3">
      <c r="A71" s="47" t="s">
        <v>103</v>
      </c>
      <c r="B71" s="18" t="s">
        <v>104</v>
      </c>
      <c r="C71" s="18" t="s">
        <v>105</v>
      </c>
      <c r="D71" s="18" t="s">
        <v>94</v>
      </c>
      <c r="E71" s="18" t="s">
        <v>106</v>
      </c>
      <c r="F71" s="18" t="s">
        <v>107</v>
      </c>
    </row>
    <row r="72" spans="1:6" x14ac:dyDescent="0.3">
      <c r="A72" s="3">
        <v>2019</v>
      </c>
      <c r="B72" s="33">
        <f>$C$62*B65</f>
        <v>1451.2452127659578</v>
      </c>
      <c r="C72" s="33">
        <f>($D$62*B65)</f>
        <v>20540.744680851065</v>
      </c>
      <c r="D72" s="33">
        <f>$E$62*B65</f>
        <v>165285.62103829789</v>
      </c>
      <c r="E72" s="33">
        <f>$F$62*B65</f>
        <v>9448.7425531914905</v>
      </c>
      <c r="F72" s="33">
        <f>E72*'eBike hire scheme calcs'!$A$42</f>
        <v>76031.385677617029</v>
      </c>
    </row>
    <row r="73" spans="1:6" x14ac:dyDescent="0.3">
      <c r="A73" s="3">
        <v>2020</v>
      </c>
      <c r="B73" s="33">
        <f t="shared" ref="B73:B74" si="4">$C$62*B66</f>
        <v>1814.0565159574473</v>
      </c>
      <c r="C73" s="33">
        <f t="shared" ref="C73:C74" si="5">($D$62*B66)</f>
        <v>25675.930851063829</v>
      </c>
      <c r="D73" s="33">
        <f>$E$62*B66</f>
        <v>206607.02629787236</v>
      </c>
      <c r="E73" s="33">
        <f>$F$62*B66</f>
        <v>11810.928191489364</v>
      </c>
      <c r="F73" s="33">
        <f>E73*'eBike hire scheme calcs'!$A$42</f>
        <v>95039.232097021304</v>
      </c>
    </row>
    <row r="74" spans="1:6" x14ac:dyDescent="0.3">
      <c r="A74" s="3">
        <v>2021</v>
      </c>
      <c r="B74" s="33">
        <f t="shared" si="4"/>
        <v>2176.8678191489366</v>
      </c>
      <c r="C74" s="33">
        <f t="shared" si="5"/>
        <v>30811.117021276597</v>
      </c>
      <c r="D74" s="33">
        <f>$E$62*B67</f>
        <v>247928.43155744683</v>
      </c>
      <c r="E74" s="33">
        <f>$F$62*B67</f>
        <v>14173.113829787235</v>
      </c>
      <c r="F74" s="33">
        <f>E74*'eBike hire scheme calcs'!$A$42</f>
        <v>114047.07851642555</v>
      </c>
    </row>
    <row r="75" spans="1:6" x14ac:dyDescent="0.3">
      <c r="A75" s="3">
        <v>2022</v>
      </c>
      <c r="B75" s="33">
        <f>$C$62*$B$68</f>
        <v>2902.4904255319157</v>
      </c>
      <c r="C75" s="33">
        <f>($D$62*$B$68)</f>
        <v>41081.48936170213</v>
      </c>
      <c r="D75" s="33">
        <f>$E$62*$B$68</f>
        <v>330571.24207659578</v>
      </c>
      <c r="E75" s="33">
        <f>$F$62*$B$68</f>
        <v>18897.485106382981</v>
      </c>
      <c r="F75" s="33">
        <f>E75*'eBike hire scheme calcs'!$A$42</f>
        <v>152062.77135523406</v>
      </c>
    </row>
    <row r="76" spans="1:6" x14ac:dyDescent="0.3">
      <c r="A76" s="3">
        <v>2023</v>
      </c>
      <c r="B76" s="33">
        <f t="shared" ref="B76:B91" si="6">$C$62*$B$68</f>
        <v>2902.4904255319157</v>
      </c>
      <c r="C76" s="33">
        <f t="shared" ref="C76:C91" si="7">($D$62*$B$68)</f>
        <v>41081.48936170213</v>
      </c>
      <c r="D76" s="33">
        <f t="shared" ref="D76:D91" si="8">$E$62*$B$68</f>
        <v>330571.24207659578</v>
      </c>
      <c r="E76" s="33">
        <f t="shared" ref="E76:E91" si="9">$F$62*$B$68</f>
        <v>18897.485106382981</v>
      </c>
      <c r="F76" s="33">
        <f>E76*'eBike hire scheme calcs'!$A$42</f>
        <v>152062.77135523406</v>
      </c>
    </row>
    <row r="77" spans="1:6" x14ac:dyDescent="0.3">
      <c r="A77" s="3">
        <v>2024</v>
      </c>
      <c r="B77" s="33">
        <f t="shared" si="6"/>
        <v>2902.4904255319157</v>
      </c>
      <c r="C77" s="33">
        <f t="shared" si="7"/>
        <v>41081.48936170213</v>
      </c>
      <c r="D77" s="33">
        <f t="shared" si="8"/>
        <v>330571.24207659578</v>
      </c>
      <c r="E77" s="33">
        <f t="shared" si="9"/>
        <v>18897.485106382981</v>
      </c>
      <c r="F77" s="33">
        <f>E77*'eBike hire scheme calcs'!$A$42</f>
        <v>152062.77135523406</v>
      </c>
    </row>
    <row r="78" spans="1:6" x14ac:dyDescent="0.3">
      <c r="A78" s="3">
        <v>2025</v>
      </c>
      <c r="B78" s="33">
        <f t="shared" si="6"/>
        <v>2902.4904255319157</v>
      </c>
      <c r="C78" s="33">
        <f t="shared" si="7"/>
        <v>41081.48936170213</v>
      </c>
      <c r="D78" s="33">
        <f t="shared" si="8"/>
        <v>330571.24207659578</v>
      </c>
      <c r="E78" s="33">
        <f t="shared" si="9"/>
        <v>18897.485106382981</v>
      </c>
      <c r="F78" s="33">
        <f>E78*'eBike hire scheme calcs'!$A$42</f>
        <v>152062.77135523406</v>
      </c>
    </row>
    <row r="79" spans="1:6" x14ac:dyDescent="0.3">
      <c r="A79" s="3">
        <v>2026</v>
      </c>
      <c r="B79" s="33">
        <f t="shared" si="6"/>
        <v>2902.4904255319157</v>
      </c>
      <c r="C79" s="33">
        <f t="shared" si="7"/>
        <v>41081.48936170213</v>
      </c>
      <c r="D79" s="33">
        <f t="shared" si="8"/>
        <v>330571.24207659578</v>
      </c>
      <c r="E79" s="33">
        <f t="shared" si="9"/>
        <v>18897.485106382981</v>
      </c>
      <c r="F79" s="33">
        <f>E79*'eBike hire scheme calcs'!$A$42</f>
        <v>152062.77135523406</v>
      </c>
    </row>
    <row r="80" spans="1:6" x14ac:dyDescent="0.3">
      <c r="A80" s="3">
        <v>2027</v>
      </c>
      <c r="B80" s="33">
        <f t="shared" si="6"/>
        <v>2902.4904255319157</v>
      </c>
      <c r="C80" s="33">
        <f t="shared" si="7"/>
        <v>41081.48936170213</v>
      </c>
      <c r="D80" s="33">
        <f t="shared" si="8"/>
        <v>330571.24207659578</v>
      </c>
      <c r="E80" s="33">
        <f t="shared" si="9"/>
        <v>18897.485106382981</v>
      </c>
      <c r="F80" s="33">
        <f>E80*'eBike hire scheme calcs'!$A$42</f>
        <v>152062.77135523406</v>
      </c>
    </row>
    <row r="81" spans="1:6" x14ac:dyDescent="0.3">
      <c r="A81" s="3">
        <v>2028</v>
      </c>
      <c r="B81" s="33">
        <f t="shared" si="6"/>
        <v>2902.4904255319157</v>
      </c>
      <c r="C81" s="33">
        <f t="shared" si="7"/>
        <v>41081.48936170213</v>
      </c>
      <c r="D81" s="33">
        <f t="shared" si="8"/>
        <v>330571.24207659578</v>
      </c>
      <c r="E81" s="33">
        <f t="shared" si="9"/>
        <v>18897.485106382981</v>
      </c>
      <c r="F81" s="33">
        <f>E81*'eBike hire scheme calcs'!$A$42</f>
        <v>152062.77135523406</v>
      </c>
    </row>
    <row r="82" spans="1:6" x14ac:dyDescent="0.3">
      <c r="A82" s="3">
        <v>2029</v>
      </c>
      <c r="B82" s="33">
        <f t="shared" si="6"/>
        <v>2902.4904255319157</v>
      </c>
      <c r="C82" s="33">
        <f t="shared" si="7"/>
        <v>41081.48936170213</v>
      </c>
      <c r="D82" s="33">
        <f t="shared" si="8"/>
        <v>330571.24207659578</v>
      </c>
      <c r="E82" s="33">
        <f t="shared" si="9"/>
        <v>18897.485106382981</v>
      </c>
      <c r="F82" s="33">
        <f>E82*'eBike hire scheme calcs'!$A$42</f>
        <v>152062.77135523406</v>
      </c>
    </row>
    <row r="83" spans="1:6" x14ac:dyDescent="0.3">
      <c r="A83" s="3">
        <v>2030</v>
      </c>
      <c r="B83" s="33">
        <f t="shared" si="6"/>
        <v>2902.4904255319157</v>
      </c>
      <c r="C83" s="33">
        <f t="shared" si="7"/>
        <v>41081.48936170213</v>
      </c>
      <c r="D83" s="33">
        <f t="shared" si="8"/>
        <v>330571.24207659578</v>
      </c>
      <c r="E83" s="33">
        <f t="shared" si="9"/>
        <v>18897.485106382981</v>
      </c>
      <c r="F83" s="33">
        <f>E83*'eBike hire scheme calcs'!$A$42</f>
        <v>152062.77135523406</v>
      </c>
    </row>
    <row r="84" spans="1:6" x14ac:dyDescent="0.3">
      <c r="A84" s="3">
        <v>2031</v>
      </c>
      <c r="B84" s="33">
        <f t="shared" si="6"/>
        <v>2902.4904255319157</v>
      </c>
      <c r="C84" s="33">
        <f t="shared" si="7"/>
        <v>41081.48936170213</v>
      </c>
      <c r="D84" s="33">
        <f t="shared" si="8"/>
        <v>330571.24207659578</v>
      </c>
      <c r="E84" s="33">
        <f t="shared" si="9"/>
        <v>18897.485106382981</v>
      </c>
      <c r="F84" s="33">
        <f>E84*'eBike hire scheme calcs'!$A$42</f>
        <v>152062.77135523406</v>
      </c>
    </row>
    <row r="85" spans="1:6" x14ac:dyDescent="0.3">
      <c r="A85" s="3">
        <v>2032</v>
      </c>
      <c r="B85" s="33">
        <f t="shared" si="6"/>
        <v>2902.4904255319157</v>
      </c>
      <c r="C85" s="33">
        <f t="shared" si="7"/>
        <v>41081.48936170213</v>
      </c>
      <c r="D85" s="33">
        <f t="shared" si="8"/>
        <v>330571.24207659578</v>
      </c>
      <c r="E85" s="33">
        <f t="shared" si="9"/>
        <v>18897.485106382981</v>
      </c>
      <c r="F85" s="33">
        <f>E85*'eBike hire scheme calcs'!$A$42</f>
        <v>152062.77135523406</v>
      </c>
    </row>
    <row r="86" spans="1:6" x14ac:dyDescent="0.3">
      <c r="A86" s="3">
        <v>2033</v>
      </c>
      <c r="B86" s="33">
        <f t="shared" si="6"/>
        <v>2902.4904255319157</v>
      </c>
      <c r="C86" s="33">
        <f t="shared" si="7"/>
        <v>41081.48936170213</v>
      </c>
      <c r="D86" s="33">
        <f t="shared" si="8"/>
        <v>330571.24207659578</v>
      </c>
      <c r="E86" s="33">
        <f t="shared" si="9"/>
        <v>18897.485106382981</v>
      </c>
      <c r="F86" s="33">
        <f>E86*'eBike hire scheme calcs'!$A$42</f>
        <v>152062.77135523406</v>
      </c>
    </row>
    <row r="87" spans="1:6" x14ac:dyDescent="0.3">
      <c r="A87" s="3">
        <v>2034</v>
      </c>
      <c r="B87" s="33">
        <f t="shared" si="6"/>
        <v>2902.4904255319157</v>
      </c>
      <c r="C87" s="33">
        <f t="shared" si="7"/>
        <v>41081.48936170213</v>
      </c>
      <c r="D87" s="33">
        <f t="shared" si="8"/>
        <v>330571.24207659578</v>
      </c>
      <c r="E87" s="33">
        <f t="shared" si="9"/>
        <v>18897.485106382981</v>
      </c>
      <c r="F87" s="33">
        <f>E87*'eBike hire scheme calcs'!$A$42</f>
        <v>152062.77135523406</v>
      </c>
    </row>
    <row r="88" spans="1:6" x14ac:dyDescent="0.3">
      <c r="A88" s="3">
        <v>2035</v>
      </c>
      <c r="B88" s="33">
        <f t="shared" si="6"/>
        <v>2902.4904255319157</v>
      </c>
      <c r="C88" s="33">
        <f t="shared" si="7"/>
        <v>41081.48936170213</v>
      </c>
      <c r="D88" s="33">
        <f t="shared" si="8"/>
        <v>330571.24207659578</v>
      </c>
      <c r="E88" s="33">
        <f t="shared" si="9"/>
        <v>18897.485106382981</v>
      </c>
      <c r="F88" s="33">
        <f>E88*'eBike hire scheme calcs'!$A$42</f>
        <v>152062.77135523406</v>
      </c>
    </row>
    <row r="89" spans="1:6" x14ac:dyDescent="0.3">
      <c r="A89" s="3">
        <v>2036</v>
      </c>
      <c r="B89" s="33">
        <f t="shared" si="6"/>
        <v>2902.4904255319157</v>
      </c>
      <c r="C89" s="33">
        <f t="shared" si="7"/>
        <v>41081.48936170213</v>
      </c>
      <c r="D89" s="33">
        <f t="shared" si="8"/>
        <v>330571.24207659578</v>
      </c>
      <c r="E89" s="33">
        <f t="shared" si="9"/>
        <v>18897.485106382981</v>
      </c>
      <c r="F89" s="33">
        <f>E89*'eBike hire scheme calcs'!$A$42</f>
        <v>152062.77135523406</v>
      </c>
    </row>
    <row r="90" spans="1:6" x14ac:dyDescent="0.3">
      <c r="A90" s="3">
        <v>2037</v>
      </c>
      <c r="B90" s="33">
        <f t="shared" si="6"/>
        <v>2902.4904255319157</v>
      </c>
      <c r="C90" s="33">
        <f t="shared" si="7"/>
        <v>41081.48936170213</v>
      </c>
      <c r="D90" s="33">
        <f t="shared" si="8"/>
        <v>330571.24207659578</v>
      </c>
      <c r="E90" s="33">
        <f t="shared" si="9"/>
        <v>18897.485106382981</v>
      </c>
      <c r="F90" s="33">
        <f>E90*'eBike hire scheme calcs'!$A$42</f>
        <v>152062.77135523406</v>
      </c>
    </row>
    <row r="91" spans="1:6" x14ac:dyDescent="0.3">
      <c r="A91" s="3">
        <v>2038</v>
      </c>
      <c r="B91" s="33">
        <f t="shared" si="6"/>
        <v>2902.4904255319157</v>
      </c>
      <c r="C91" s="33">
        <f t="shared" si="7"/>
        <v>41081.48936170213</v>
      </c>
      <c r="D91" s="33">
        <f t="shared" si="8"/>
        <v>330571.24207659578</v>
      </c>
      <c r="E91" s="33">
        <f t="shared" si="9"/>
        <v>18897.485106382981</v>
      </c>
      <c r="F91" s="33">
        <f>E91*'eBike hire scheme calcs'!$A$42</f>
        <v>152062.77135523406</v>
      </c>
    </row>
    <row r="92" spans="1:6" x14ac:dyDescent="0.3">
      <c r="A92" s="48" t="s">
        <v>108</v>
      </c>
      <c r="B92" s="33">
        <f>SUM(B72:B91)</f>
        <v>54784.50678191489</v>
      </c>
      <c r="C92" s="33">
        <f>SUM(C72:C91)</f>
        <v>775413.1117021275</v>
      </c>
      <c r="D92" s="33">
        <f>SUM(D72:D91)</f>
        <v>6239532.1941957474</v>
      </c>
      <c r="E92" s="33">
        <f>SUM(E72:E91)</f>
        <v>356690.03138297878</v>
      </c>
      <c r="F92" s="33">
        <f>SUM(F72:F91)</f>
        <v>2870184.8093300434</v>
      </c>
    </row>
    <row r="93" spans="1:6" x14ac:dyDescent="0.3">
      <c r="C93" s="33">
        <f>C92/20</f>
        <v>38770.655585106375</v>
      </c>
    </row>
    <row r="94" spans="1:6" x14ac:dyDescent="0.3">
      <c r="C94" s="33">
        <f>C93/365</f>
        <v>106.22097420577089</v>
      </c>
    </row>
    <row r="95" spans="1:6" x14ac:dyDescent="0.3">
      <c r="A95" s="1" t="s">
        <v>109</v>
      </c>
    </row>
    <row r="97" spans="1:11" x14ac:dyDescent="0.3">
      <c r="A97" s="3" t="s">
        <v>96</v>
      </c>
      <c r="B97" s="3" t="s">
        <v>268</v>
      </c>
      <c r="C97" s="3" t="s">
        <v>260</v>
      </c>
      <c r="D97" s="3" t="s">
        <v>261</v>
      </c>
      <c r="E97" s="3" t="s">
        <v>262</v>
      </c>
      <c r="F97" s="3" t="s">
        <v>263</v>
      </c>
      <c r="G97" s="3" t="s">
        <v>264</v>
      </c>
      <c r="H97" s="3" t="s">
        <v>266</v>
      </c>
      <c r="I97" s="3" t="s">
        <v>110</v>
      </c>
      <c r="J97" s="3" t="s">
        <v>111</v>
      </c>
      <c r="K97" s="3" t="s">
        <v>112</v>
      </c>
    </row>
    <row r="98" spans="1:11" x14ac:dyDescent="0.3">
      <c r="A98" s="3">
        <f t="shared" ref="A98:A118" si="10">A72</f>
        <v>2019</v>
      </c>
      <c r="B98" s="49">
        <f>$F72*('Factors and data'!B272/100)</f>
        <v>25116.328718101257</v>
      </c>
      <c r="C98" s="49">
        <f>$F72*('Factors and data'!C272/100)</f>
        <v>82.02305270752305</v>
      </c>
      <c r="D98" s="49">
        <f>$F72*('Factors and data'!D272/100)</f>
        <v>2460.6915812256912</v>
      </c>
      <c r="E98" s="49">
        <f>$F72*('Factors and data'!E272/100)</f>
        <v>59.235794894964357</v>
      </c>
      <c r="F98" s="49">
        <f>$F72*('Factors and data'!F272/100)</f>
        <v>164.0461054150461</v>
      </c>
      <c r="G98" s="49">
        <f>$F72*('Factors and data'!G272/100)</f>
        <v>619.93464871164156</v>
      </c>
      <c r="H98" s="49">
        <f>$F72*('Factors and data'!H272/100)</f>
        <v>-2997.1086203800337</v>
      </c>
      <c r="I98" s="49">
        <f>SUM(B98:H98)</f>
        <v>25505.151280676091</v>
      </c>
      <c r="J98" s="50">
        <f>SUM(I98/'Factors and data'!$B156)*'Factors and data'!$B$147</f>
        <v>21945.083942326433</v>
      </c>
      <c r="K98" s="50">
        <f>J98*'Factors and data'!C124</f>
        <v>21945.083942326433</v>
      </c>
    </row>
    <row r="99" spans="1:11" x14ac:dyDescent="0.3">
      <c r="A99" s="3">
        <f t="shared" si="10"/>
        <v>2020</v>
      </c>
      <c r="B99" s="49">
        <f>$F73*('Factors and data'!B273/100)</f>
        <v>38080.853016445253</v>
      </c>
      <c r="C99" s="49">
        <f>$F73*('Factors and data'!C273/100)</f>
        <v>111.7251014009896</v>
      </c>
      <c r="D99" s="49">
        <f>$F73*('Factors and data'!D273/100)</f>
        <v>3351.753042029688</v>
      </c>
      <c r="E99" s="49">
        <f>$F73*('Factors and data'!E273/100)</f>
        <v>33.266930350848057</v>
      </c>
      <c r="F99" s="49">
        <f>$F73*('Factors and data'!F273/100)</f>
        <v>223.4502028019792</v>
      </c>
      <c r="G99" s="49">
        <f>$F73*('Factors and data'!G273/100)</f>
        <v>696.48559364695154</v>
      </c>
      <c r="H99" s="49">
        <f>$F73*('Factors and data'!H273/100)</f>
        <v>-3299.1437461989635</v>
      </c>
      <c r="I99" s="49">
        <f>SUM(B99:H99)</f>
        <v>39198.390140476746</v>
      </c>
      <c r="J99" s="50">
        <f>SUM(I99/'Factors and data'!$B157)*'Factors and data'!$B$147</f>
        <v>33091.568206230295</v>
      </c>
      <c r="K99" s="50">
        <f>J99*'Factors and data'!C125</f>
        <v>31933.363319012235</v>
      </c>
    </row>
    <row r="100" spans="1:11" x14ac:dyDescent="0.3">
      <c r="A100" s="3">
        <f t="shared" si="10"/>
        <v>2021</v>
      </c>
      <c r="B100" s="49">
        <f>$F74*('Factors and data'!B274/100)</f>
        <v>45697.023619734297</v>
      </c>
      <c r="C100" s="49">
        <f>$F74*('Factors and data'!C274/100)</f>
        <v>134.07012168118749</v>
      </c>
      <c r="D100" s="49">
        <f>$F74*('Factors and data'!D274/100)</f>
        <v>4022.1036504356248</v>
      </c>
      <c r="E100" s="49">
        <f>$F74*('Factors and data'!E274/100)</f>
        <v>39.92031642101766</v>
      </c>
      <c r="F100" s="49">
        <f>$F74*('Factors and data'!F274/100)</f>
        <v>268.14024336237497</v>
      </c>
      <c r="G100" s="49">
        <f>$F74*('Factors and data'!G274/100)</f>
        <v>835.78271237634181</v>
      </c>
      <c r="H100" s="49">
        <f>$F74*('Factors and data'!H274/100)</f>
        <v>-3958.9724954387557</v>
      </c>
      <c r="I100" s="49">
        <f t="shared" ref="I100:I117" si="11">SUM(B100:H100)</f>
        <v>47038.068168572085</v>
      </c>
      <c r="J100" s="50">
        <f>SUM(I100/'Factors and data'!$B158)*'Factors and data'!$B$147</f>
        <v>38953.754223574069</v>
      </c>
      <c r="K100" s="50">
        <f>J100*'Factors and data'!C126</f>
        <v>36274.709776847762</v>
      </c>
    </row>
    <row r="101" spans="1:11" x14ac:dyDescent="0.3">
      <c r="A101" s="3">
        <f t="shared" si="10"/>
        <v>2022</v>
      </c>
      <c r="B101" s="49">
        <f>$F75*('Factors and data'!B275/100)</f>
        <v>60929.364826312398</v>
      </c>
      <c r="C101" s="49">
        <f>$F75*('Factors and data'!C275/100)</f>
        <v>178.76016224158332</v>
      </c>
      <c r="D101" s="49">
        <f>$F75*('Factors and data'!D275/100)</f>
        <v>5362.8048672474997</v>
      </c>
      <c r="E101" s="49">
        <f>$F75*('Factors and data'!E275/100)</f>
        <v>53.227088561356872</v>
      </c>
      <c r="F101" s="49">
        <f>$F75*('Factors and data'!F275/100)</f>
        <v>357.52032448316663</v>
      </c>
      <c r="G101" s="49">
        <f>$F75*('Factors and data'!G275/100)</f>
        <v>1114.3769498351223</v>
      </c>
      <c r="H101" s="49">
        <f>$F75*('Factors and data'!H275/100)</f>
        <v>-5278.62999391834</v>
      </c>
      <c r="I101" s="49">
        <f t="shared" si="11"/>
        <v>62717.424224762784</v>
      </c>
      <c r="J101" s="50">
        <f>SUM(I101/'Factors and data'!$B159)*'Factors and data'!$B$147</f>
        <v>50959.038739396769</v>
      </c>
      <c r="K101" s="50">
        <f>J101*'Factors and data'!C127</f>
        <v>45793.429270341432</v>
      </c>
    </row>
    <row r="102" spans="1:11" x14ac:dyDescent="0.3">
      <c r="A102" s="3">
        <f t="shared" si="10"/>
        <v>2023</v>
      </c>
      <c r="B102" s="49">
        <f>$F76*('Factors and data'!B276/100)</f>
        <v>60929.364826312398</v>
      </c>
      <c r="C102" s="49">
        <f>$F76*('Factors and data'!C276/100)</f>
        <v>178.76016224158332</v>
      </c>
      <c r="D102" s="49">
        <f>$F76*('Factors and data'!D276/100)</f>
        <v>5362.8048672474997</v>
      </c>
      <c r="E102" s="49">
        <f>$F76*('Factors and data'!E276/100)</f>
        <v>53.227088561356872</v>
      </c>
      <c r="F102" s="49">
        <f>$F76*('Factors and data'!F276/100)</f>
        <v>357.52032448316663</v>
      </c>
      <c r="G102" s="49">
        <f>$F76*('Factors and data'!G276/100)</f>
        <v>1114.3769498351223</v>
      </c>
      <c r="H102" s="49">
        <f>$F76*('Factors and data'!H276/100)</f>
        <v>-5278.62999391834</v>
      </c>
      <c r="I102" s="49">
        <f t="shared" si="11"/>
        <v>62717.424224762784</v>
      </c>
      <c r="J102" s="50">
        <f>SUM(I102/'Factors and data'!$B160)*'Factors and data'!$B$147</f>
        <v>49998.7307644783</v>
      </c>
      <c r="K102" s="50">
        <f>J102*'Factors and data'!C128</f>
        <v>43357.899375589492</v>
      </c>
    </row>
    <row r="103" spans="1:11" x14ac:dyDescent="0.3">
      <c r="A103" s="3">
        <f t="shared" si="10"/>
        <v>2024</v>
      </c>
      <c r="B103" s="49">
        <f>$F77*('Factors and data'!B277/100)</f>
        <v>60929.364826312398</v>
      </c>
      <c r="C103" s="49">
        <f>$F77*('Factors and data'!C277/100)</f>
        <v>178.76016224158332</v>
      </c>
      <c r="D103" s="49">
        <f>$F77*('Factors and data'!D277/100)</f>
        <v>5362.8048672474997</v>
      </c>
      <c r="E103" s="49">
        <f>$F77*('Factors and data'!E277/100)</f>
        <v>53.227088561356872</v>
      </c>
      <c r="F103" s="49">
        <f>$F77*('Factors and data'!F277/100)</f>
        <v>357.52032448316663</v>
      </c>
      <c r="G103" s="49">
        <f>$F77*('Factors and data'!G277/100)</f>
        <v>1114.3769498351223</v>
      </c>
      <c r="H103" s="49">
        <f>$F77*('Factors and data'!H277/100)</f>
        <v>-5278.62999391834</v>
      </c>
      <c r="I103" s="49">
        <f t="shared" si="11"/>
        <v>62717.424224762784</v>
      </c>
      <c r="J103" s="50">
        <f>SUM(I103/'Factors and data'!$B161)*'Factors and data'!$B$147</f>
        <v>48922.437147239034</v>
      </c>
      <c r="K103" s="50">
        <f>J103*'Factors and data'!C129</f>
        <v>40939.699508262085</v>
      </c>
    </row>
    <row r="104" spans="1:11" x14ac:dyDescent="0.3">
      <c r="A104" s="3">
        <f t="shared" si="10"/>
        <v>2025</v>
      </c>
      <c r="B104" s="49">
        <f>$F78*('Factors and data'!B278/100)</f>
        <v>72859.483730891574</v>
      </c>
      <c r="C104" s="49">
        <f>$F78*('Factors and data'!C278/100)</f>
        <v>197.61790598915869</v>
      </c>
      <c r="D104" s="49">
        <f>$F78*('Factors and data'!D278/100)</f>
        <v>5928.5371796747595</v>
      </c>
      <c r="E104" s="49">
        <f>$F78*('Factors and data'!E278/100)</f>
        <v>31.048667284891884</v>
      </c>
      <c r="F104" s="49">
        <f>$F78*('Factors and data'!F278/100)</f>
        <v>395.23581197831737</v>
      </c>
      <c r="G104" s="49">
        <f>$F78*('Factors and data'!G278/100)</f>
        <v>1046.4105557175969</v>
      </c>
      <c r="H104" s="49">
        <f>$F78*('Factors and data'!H278/100)</f>
        <v>-4696.582130313468</v>
      </c>
      <c r="I104" s="49">
        <f t="shared" si="11"/>
        <v>75761.751721222827</v>
      </c>
      <c r="J104" s="50">
        <f>SUM(I104/'Factors and data'!$B162)*'Factors and data'!$B$147</f>
        <v>57825.444788827779</v>
      </c>
      <c r="K104" s="50">
        <f>J104*'Factors and data'!C130</f>
        <v>46696.342110577352</v>
      </c>
    </row>
    <row r="105" spans="1:11" x14ac:dyDescent="0.3">
      <c r="A105" s="3">
        <f t="shared" si="10"/>
        <v>2026</v>
      </c>
      <c r="B105" s="49">
        <f>$F79*('Factors and data'!B279/100)</f>
        <v>72859.483730891574</v>
      </c>
      <c r="C105" s="49">
        <f>$F79*('Factors and data'!C279/100)</f>
        <v>197.61790598915869</v>
      </c>
      <c r="D105" s="49">
        <f>$F79*('Factors and data'!D279/100)</f>
        <v>5928.5371796747595</v>
      </c>
      <c r="E105" s="49">
        <f>$F79*('Factors and data'!E279/100)</f>
        <v>31.048667284891884</v>
      </c>
      <c r="F105" s="49">
        <f>$F79*('Factors and data'!F279/100)</f>
        <v>395.23581197831737</v>
      </c>
      <c r="G105" s="49">
        <f>$F79*('Factors and data'!G279/100)</f>
        <v>1046.4105557175969</v>
      </c>
      <c r="H105" s="49">
        <f>$F79*('Factors and data'!H279/100)</f>
        <v>-4696.582130313468</v>
      </c>
      <c r="I105" s="49">
        <f t="shared" si="11"/>
        <v>75761.751721222827</v>
      </c>
      <c r="J105" s="50">
        <f>SUM(I105/'Factors and data'!$B163)*'Factors and data'!$B$147</f>
        <v>56580.670047776701</v>
      </c>
      <c r="K105" s="50">
        <f>J105*'Factors and data'!C131</f>
        <v>44091.947296190949</v>
      </c>
    </row>
    <row r="106" spans="1:11" x14ac:dyDescent="0.3">
      <c r="A106" s="3">
        <f t="shared" si="10"/>
        <v>2027</v>
      </c>
      <c r="B106" s="49">
        <f>$F80*('Factors and data'!B280/100)</f>
        <v>72859.483730891574</v>
      </c>
      <c r="C106" s="49">
        <f>$F80*('Factors and data'!C280/100)</f>
        <v>197.61790598915869</v>
      </c>
      <c r="D106" s="49">
        <f>$F80*('Factors and data'!D280/100)</f>
        <v>5928.5371796747595</v>
      </c>
      <c r="E106" s="49">
        <f>$F80*('Factors and data'!E280/100)</f>
        <v>31.048667284891884</v>
      </c>
      <c r="F106" s="49">
        <f>$F80*('Factors and data'!F280/100)</f>
        <v>395.23581197831737</v>
      </c>
      <c r="G106" s="49">
        <f>$F80*('Factors and data'!G280/100)</f>
        <v>1046.4105557175969</v>
      </c>
      <c r="H106" s="49">
        <f>$F80*('Factors and data'!H280/100)</f>
        <v>-4696.582130313468</v>
      </c>
      <c r="I106" s="49">
        <f t="shared" si="11"/>
        <v>75761.751721222827</v>
      </c>
      <c r="J106" s="50">
        <f>SUM(I106/'Factors and data'!$B164)*'Factors and data'!$B$147</f>
        <v>55362.690849096565</v>
      </c>
      <c r="K106" s="50">
        <f>J106*'Factors and data'!C132</f>
        <v>41632.807378497309</v>
      </c>
    </row>
    <row r="107" spans="1:11" x14ac:dyDescent="0.3">
      <c r="A107" s="3">
        <f t="shared" si="10"/>
        <v>2028</v>
      </c>
      <c r="B107" s="49">
        <f>$F81*('Factors and data'!B281/100)</f>
        <v>72859.483730891574</v>
      </c>
      <c r="C107" s="49">
        <f>$F81*('Factors and data'!C281/100)</f>
        <v>197.61790598915869</v>
      </c>
      <c r="D107" s="49">
        <f>$F81*('Factors and data'!D281/100)</f>
        <v>5928.5371796747595</v>
      </c>
      <c r="E107" s="49">
        <f>$F81*('Factors and data'!E281/100)</f>
        <v>31.048667284891884</v>
      </c>
      <c r="F107" s="49">
        <f>$F81*('Factors and data'!F281/100)</f>
        <v>395.23581197831737</v>
      </c>
      <c r="G107" s="49">
        <f>$F81*('Factors and data'!G281/100)</f>
        <v>1046.4105557175969</v>
      </c>
      <c r="H107" s="49">
        <f>$F81*('Factors and data'!H281/100)</f>
        <v>-4696.582130313468</v>
      </c>
      <c r="I107" s="49">
        <f t="shared" si="11"/>
        <v>75761.751721222827</v>
      </c>
      <c r="J107" s="50">
        <f>SUM(I107/'Factors and data'!$B165)*'Factors and data'!$B$147</f>
        <v>54170.930380720696</v>
      </c>
      <c r="K107" s="50">
        <f>J107*'Factors and data'!C133</f>
        <v>39310.821056995985</v>
      </c>
    </row>
    <row r="108" spans="1:11" x14ac:dyDescent="0.3">
      <c r="A108" s="3">
        <f t="shared" si="10"/>
        <v>2029</v>
      </c>
      <c r="B108" s="49">
        <f>$F82*('Factors and data'!B282/100)</f>
        <v>72859.483730891574</v>
      </c>
      <c r="C108" s="49">
        <f>$F82*('Factors and data'!C282/100)</f>
        <v>197.61790598915869</v>
      </c>
      <c r="D108" s="49">
        <f>$F82*('Factors and data'!D282/100)</f>
        <v>5928.5371796747595</v>
      </c>
      <c r="E108" s="49">
        <f>$F82*('Factors and data'!E282/100)</f>
        <v>31.048667284891884</v>
      </c>
      <c r="F108" s="49">
        <f>$F82*('Factors and data'!F282/100)</f>
        <v>395.23581197831737</v>
      </c>
      <c r="G108" s="49">
        <f>$F82*('Factors and data'!G282/100)</f>
        <v>1046.4105557175969</v>
      </c>
      <c r="H108" s="49">
        <f>$F82*('Factors and data'!H282/100)</f>
        <v>-4696.582130313468</v>
      </c>
      <c r="I108" s="49">
        <f t="shared" si="11"/>
        <v>75761.751721222827</v>
      </c>
      <c r="J108" s="50">
        <f>SUM(I108/'Factors and data'!$B166)*'Factors and data'!$B$147</f>
        <v>53004.824247280536</v>
      </c>
      <c r="K108" s="50">
        <f>J108*'Factors and data'!C134</f>
        <v>37118.338864971753</v>
      </c>
    </row>
    <row r="109" spans="1:11" x14ac:dyDescent="0.3">
      <c r="A109" s="3">
        <f t="shared" si="10"/>
        <v>2030</v>
      </c>
      <c r="B109" s="49">
        <f>$F83*('Factors and data'!B283/100)</f>
        <v>87604.609354407847</v>
      </c>
      <c r="C109" s="49">
        <f>$F83*('Factors and data'!C283/100)</f>
        <v>220.3336211519343</v>
      </c>
      <c r="D109" s="49">
        <f>$F83*('Factors and data'!D283/100)</f>
        <v>6610.0086345580276</v>
      </c>
      <c r="E109" s="49">
        <f>$F83*('Factors and data'!E283/100)</f>
        <v>28.539848542496344</v>
      </c>
      <c r="F109" s="49">
        <f>$F83*('Factors and data'!F283/100)</f>
        <v>440.66724230386859</v>
      </c>
      <c r="G109" s="49">
        <f>$F83*('Factors and data'!G283/100)</f>
        <v>965.0689460707481</v>
      </c>
      <c r="H109" s="49">
        <f>$F83*('Factors and data'!H283/100)</f>
        <v>-4059.1900893614584</v>
      </c>
      <c r="I109" s="49">
        <f t="shared" si="11"/>
        <v>91810.037557673466</v>
      </c>
      <c r="J109" s="50">
        <f>SUM(I109/'Factors and data'!$B167)*'Factors and data'!$B$147</f>
        <v>62849.910047306104</v>
      </c>
      <c r="K109" s="50">
        <f>J109*'Factors and data'!C135</f>
        <v>42472.234210407572</v>
      </c>
    </row>
    <row r="110" spans="1:11" x14ac:dyDescent="0.3">
      <c r="A110" s="3">
        <f t="shared" si="10"/>
        <v>2031</v>
      </c>
      <c r="B110" s="49">
        <f>$F84*('Factors and data'!B284/100)</f>
        <v>87604.609354407847</v>
      </c>
      <c r="C110" s="49">
        <f>$F84*('Factors and data'!C284/100)</f>
        <v>220.3336211519343</v>
      </c>
      <c r="D110" s="49">
        <f>$F84*('Factors and data'!D284/100)</f>
        <v>6610.0086345580276</v>
      </c>
      <c r="E110" s="49">
        <f>$F84*('Factors and data'!E284/100)</f>
        <v>28.539848542496344</v>
      </c>
      <c r="F110" s="49">
        <f>$F84*('Factors and data'!F284/100)</f>
        <v>440.66724230386859</v>
      </c>
      <c r="G110" s="49">
        <f>$F84*('Factors and data'!G284/100)</f>
        <v>965.0689460707481</v>
      </c>
      <c r="H110" s="49">
        <f>$F84*('Factors and data'!H284/100)</f>
        <v>-4059.1900893614584</v>
      </c>
      <c r="I110" s="49">
        <f t="shared" si="11"/>
        <v>91810.037557673466</v>
      </c>
      <c r="J110" s="50">
        <f>SUM(I110/'Factors and data'!$B168)*'Factors and data'!$B$147</f>
        <v>61496.976562921831</v>
      </c>
      <c r="K110" s="50">
        <f>J110*'Factors and data'!C136</f>
        <v>40103.430541138274</v>
      </c>
    </row>
    <row r="111" spans="1:11" x14ac:dyDescent="0.3">
      <c r="A111" s="3">
        <f t="shared" si="10"/>
        <v>2032</v>
      </c>
      <c r="B111" s="49">
        <f>$F85*('Factors and data'!B285/100)</f>
        <v>87604.609354407847</v>
      </c>
      <c r="C111" s="49">
        <f>$F85*('Factors and data'!C285/100)</f>
        <v>220.3336211519343</v>
      </c>
      <c r="D111" s="49">
        <f>$F85*('Factors and data'!D285/100)</f>
        <v>6610.0086345580276</v>
      </c>
      <c r="E111" s="49">
        <f>$F85*('Factors and data'!E285/100)</f>
        <v>28.539848542496344</v>
      </c>
      <c r="F111" s="49">
        <f>$F85*('Factors and data'!F285/100)</f>
        <v>440.66724230386859</v>
      </c>
      <c r="G111" s="49">
        <f>$F85*('Factors and data'!G285/100)</f>
        <v>965.0689460707481</v>
      </c>
      <c r="H111" s="49">
        <f>$F85*('Factors and data'!H285/100)</f>
        <v>-4059.1900893614584</v>
      </c>
      <c r="I111" s="49">
        <f t="shared" si="11"/>
        <v>91810.037557673466</v>
      </c>
      <c r="J111" s="50">
        <f>SUM(I111/'Factors and data'!$B169)*'Factors and data'!$B$147</f>
        <v>60173.166891312925</v>
      </c>
      <c r="K111" s="50">
        <f>J111*'Factors and data'!C137</f>
        <v>37866.74214500824</v>
      </c>
    </row>
    <row r="112" spans="1:11" x14ac:dyDescent="0.3">
      <c r="A112" s="3">
        <f t="shared" si="10"/>
        <v>2033</v>
      </c>
      <c r="B112" s="49">
        <f>$F86*('Factors and data'!B286/100)</f>
        <v>87604.609354407847</v>
      </c>
      <c r="C112" s="49">
        <f>$F86*('Factors and data'!C286/100)</f>
        <v>220.3336211519343</v>
      </c>
      <c r="D112" s="49">
        <f>$F86*('Factors and data'!D286/100)</f>
        <v>6610.0086345580276</v>
      </c>
      <c r="E112" s="49">
        <f>$F86*('Factors and data'!E286/100)</f>
        <v>28.539848542496344</v>
      </c>
      <c r="F112" s="49">
        <f>$F86*('Factors and data'!F286/100)</f>
        <v>440.66724230386859</v>
      </c>
      <c r="G112" s="49">
        <f>$F86*('Factors and data'!G286/100)</f>
        <v>965.0689460707481</v>
      </c>
      <c r="H112" s="49">
        <f>$F86*('Factors and data'!H286/100)</f>
        <v>-4059.1900893614584</v>
      </c>
      <c r="I112" s="49">
        <f t="shared" si="11"/>
        <v>91810.037557673466</v>
      </c>
      <c r="J112" s="50">
        <f>SUM(I112/'Factors and data'!$B170)*'Factors and data'!$B$147</f>
        <v>58877.854101088975</v>
      </c>
      <c r="K112" s="50">
        <f>J112*'Factors and data'!C138</f>
        <v>35754.800557664341</v>
      </c>
    </row>
    <row r="113" spans="1:15" x14ac:dyDescent="0.3">
      <c r="A113" s="3">
        <f t="shared" si="10"/>
        <v>2034</v>
      </c>
      <c r="B113" s="49">
        <f>$F87*('Factors and data'!B287/100)</f>
        <v>87604.609354407847</v>
      </c>
      <c r="C113" s="49">
        <f>$F87*('Factors and data'!C287/100)</f>
        <v>220.3336211519343</v>
      </c>
      <c r="D113" s="49">
        <f>$F87*('Factors and data'!D287/100)</f>
        <v>6610.0086345580276</v>
      </c>
      <c r="E113" s="49">
        <f>$F87*('Factors and data'!E287/100)</f>
        <v>28.539848542496344</v>
      </c>
      <c r="F113" s="49">
        <f>$F87*('Factors and data'!F287/100)</f>
        <v>440.66724230386859</v>
      </c>
      <c r="G113" s="49">
        <f>$F87*('Factors and data'!G287/100)</f>
        <v>965.0689460707481</v>
      </c>
      <c r="H113" s="49">
        <f>$F87*('Factors and data'!H287/100)</f>
        <v>-4059.1900893614584</v>
      </c>
      <c r="I113" s="49">
        <f t="shared" si="11"/>
        <v>91810.037557673466</v>
      </c>
      <c r="J113" s="50">
        <f>SUM(I113/'Factors and data'!$B171)*'Factors and data'!$B$147</f>
        <v>57610.424756447137</v>
      </c>
      <c r="K113" s="50">
        <f>J113*'Factors and data'!C139</f>
        <v>33760.64827607249</v>
      </c>
    </row>
    <row r="114" spans="1:15" x14ac:dyDescent="0.3">
      <c r="A114" s="3">
        <f t="shared" si="10"/>
        <v>2035</v>
      </c>
      <c r="B114" s="49">
        <f>$F88*('Factors and data'!B288/100)</f>
        <v>110065.10741356123</v>
      </c>
      <c r="C114" s="49">
        <f>$F88*('Factors and data'!C288/100)</f>
        <v>245.66045453688488</v>
      </c>
      <c r="D114" s="49">
        <f>$F88*('Factors and data'!D288/100)</f>
        <v>7369.8136361065463</v>
      </c>
      <c r="E114" s="49">
        <f>$F88*('Factors and data'!E288/100)</f>
        <v>29.770704733177631</v>
      </c>
      <c r="F114" s="49">
        <f>$F88*('Factors and data'!F288/100)</f>
        <v>491.32090907376977</v>
      </c>
      <c r="G114" s="49">
        <f>$F88*('Factors and data'!G288/100)</f>
        <v>1295.2314791043218</v>
      </c>
      <c r="H114" s="49">
        <f>$F88*('Factors and data'!H288/100)</f>
        <v>-3750.963081759337</v>
      </c>
      <c r="I114" s="49">
        <f t="shared" si="11"/>
        <v>115745.94151535658</v>
      </c>
      <c r="J114" s="50">
        <f>SUM(I114/'Factors and data'!$B172)*'Factors and data'!$B$147</f>
        <v>71066.640932666603</v>
      </c>
      <c r="K114" s="50">
        <f>J114*'Factors and data'!C140</f>
        <v>40188.593003325368</v>
      </c>
    </row>
    <row r="115" spans="1:15" x14ac:dyDescent="0.3">
      <c r="A115" s="3">
        <f t="shared" si="10"/>
        <v>2036</v>
      </c>
      <c r="B115" s="49">
        <f>$F89*('Factors and data'!B289/100)</f>
        <v>110065.10741356123</v>
      </c>
      <c r="C115" s="49">
        <f>$F89*('Factors and data'!C289/100)</f>
        <v>245.66045453688488</v>
      </c>
      <c r="D115" s="49">
        <f>$F89*('Factors and data'!D289/100)</f>
        <v>7369.8136361065463</v>
      </c>
      <c r="E115" s="49">
        <f>$F89*('Factors and data'!E289/100)</f>
        <v>29.770704733177631</v>
      </c>
      <c r="F115" s="49">
        <f>$F89*('Factors and data'!F289/100)</f>
        <v>491.32090907376977</v>
      </c>
      <c r="G115" s="49">
        <f>$F89*('Factors and data'!G289/100)</f>
        <v>1295.2314791043218</v>
      </c>
      <c r="H115" s="49">
        <f>$F89*('Factors and data'!H289/100)</f>
        <v>-3750.963081759337</v>
      </c>
      <c r="I115" s="49">
        <f t="shared" si="11"/>
        <v>115745.94151535658</v>
      </c>
      <c r="J115" s="50">
        <f>SUM(I115/'Factors and data'!$B173)*'Factors and data'!$B$147</f>
        <v>69536.830658186474</v>
      </c>
      <c r="K115" s="50">
        <f>J115*'Factors and data'!C141</f>
        <v>37947.154841691743</v>
      </c>
    </row>
    <row r="116" spans="1:15" x14ac:dyDescent="0.3">
      <c r="A116" s="3">
        <f t="shared" si="10"/>
        <v>2037</v>
      </c>
      <c r="B116" s="49">
        <f>$F90*('Factors and data'!B290/100)</f>
        <v>110065.10741356123</v>
      </c>
      <c r="C116" s="49">
        <f>$F90*('Factors and data'!C290/100)</f>
        <v>245.66045453688488</v>
      </c>
      <c r="D116" s="49">
        <f>$F90*('Factors and data'!D290/100)</f>
        <v>7369.8136361065463</v>
      </c>
      <c r="E116" s="49">
        <f>$F90*('Factors and data'!E290/100)</f>
        <v>29.770704733177631</v>
      </c>
      <c r="F116" s="49">
        <f>$F90*('Factors and data'!F290/100)</f>
        <v>491.32090907376977</v>
      </c>
      <c r="G116" s="49">
        <f>$F90*('Factors and data'!G290/100)</f>
        <v>1295.2314791043218</v>
      </c>
      <c r="H116" s="49">
        <f>$F90*('Factors and data'!H290/100)</f>
        <v>-3750.963081759337</v>
      </c>
      <c r="I116" s="49">
        <f t="shared" si="11"/>
        <v>115745.94151535658</v>
      </c>
      <c r="J116" s="50">
        <f>SUM(I116/'Factors and data'!$B174)*'Factors and data'!$B$147</f>
        <v>68039.951720339013</v>
      </c>
      <c r="K116" s="50">
        <f>J116*'Factors and data'!C142</f>
        <v>35830.728397487801</v>
      </c>
    </row>
    <row r="117" spans="1:15" x14ac:dyDescent="0.3">
      <c r="A117" s="3">
        <f t="shared" si="10"/>
        <v>2038</v>
      </c>
      <c r="B117" s="49">
        <f>$F91*('Factors and data'!B291/100)</f>
        <v>110065.10741356123</v>
      </c>
      <c r="C117" s="49">
        <f>$F91*('Factors and data'!C291/100)</f>
        <v>245.66045453688488</v>
      </c>
      <c r="D117" s="49">
        <f>$F91*('Factors and data'!D291/100)</f>
        <v>7369.8136361065463</v>
      </c>
      <c r="E117" s="49">
        <f>$F91*('Factors and data'!E291/100)</f>
        <v>29.770704733177631</v>
      </c>
      <c r="F117" s="49">
        <f>$F91*('Factors and data'!F291/100)</f>
        <v>491.32090907376977</v>
      </c>
      <c r="G117" s="49">
        <f>$F91*('Factors and data'!G291/100)</f>
        <v>1295.2314791043218</v>
      </c>
      <c r="H117" s="49">
        <f>$F91*('Factors and data'!H291/100)</f>
        <v>-3750.963081759337</v>
      </c>
      <c r="I117" s="49">
        <f t="shared" si="11"/>
        <v>115745.94151535658</v>
      </c>
      <c r="J117" s="50">
        <f>SUM(I117/'Factors and data'!$B175)*'Factors and data'!$B$147</f>
        <v>66575.295225380643</v>
      </c>
      <c r="K117" s="50">
        <f>J117*'Factors and data'!C143</f>
        <v>33832.341392931237</v>
      </c>
    </row>
    <row r="118" spans="1:15" x14ac:dyDescent="0.3">
      <c r="A118" s="3" t="str">
        <f t="shared" si="10"/>
        <v>Totals</v>
      </c>
      <c r="B118" s="49">
        <f>SUM(B98:B117)</f>
        <v>1534263.1949139605</v>
      </c>
      <c r="C118" s="49">
        <f t="shared" ref="C118:J118" si="12">SUM(C98:C117)</f>
        <v>3936.4982163674563</v>
      </c>
      <c r="D118" s="49">
        <f t="shared" si="12"/>
        <v>118094.94649102361</v>
      </c>
      <c r="E118" s="49">
        <f t="shared" si="12"/>
        <v>709.12970542055211</v>
      </c>
      <c r="F118" s="49">
        <f t="shared" si="12"/>
        <v>7872.9964327349126</v>
      </c>
      <c r="G118" s="49">
        <f t="shared" si="12"/>
        <v>20733.657229599306</v>
      </c>
      <c r="H118" s="49">
        <f t="shared" si="12"/>
        <v>-84873.828269184771</v>
      </c>
      <c r="I118" s="49">
        <f t="shared" si="12"/>
        <v>1600736.5947199205</v>
      </c>
      <c r="J118" s="49">
        <f t="shared" si="12"/>
        <v>1097042.2242325968</v>
      </c>
      <c r="K118" s="51">
        <f>SUM(K99:K117)</f>
        <v>744906.03132301359</v>
      </c>
      <c r="L118" s="52" t="s">
        <v>113</v>
      </c>
      <c r="M118" s="53"/>
      <c r="N118" s="53"/>
      <c r="O118" s="53"/>
    </row>
    <row r="121" spans="1:15" x14ac:dyDescent="0.3">
      <c r="A121" s="1" t="s">
        <v>114</v>
      </c>
    </row>
    <row r="122" spans="1:15" x14ac:dyDescent="0.3">
      <c r="A122" s="3" t="s">
        <v>115</v>
      </c>
      <c r="B122" s="33">
        <f>C92/20/365</f>
        <v>106.22097420577089</v>
      </c>
    </row>
    <row r="123" spans="1:15" x14ac:dyDescent="0.3">
      <c r="A123" s="3" t="s">
        <v>116</v>
      </c>
      <c r="B123" s="50">
        <v>1053330</v>
      </c>
    </row>
    <row r="124" spans="1:15" x14ac:dyDescent="0.3">
      <c r="A124" s="3" t="s">
        <v>117</v>
      </c>
      <c r="B124" s="50">
        <v>411120</v>
      </c>
    </row>
    <row r="125" spans="1:15" x14ac:dyDescent="0.3">
      <c r="A125" s="3" t="s">
        <v>118</v>
      </c>
      <c r="B125" s="51">
        <f>SUM(B123:B124)</f>
        <v>1464450</v>
      </c>
      <c r="C125" s="52" t="s">
        <v>113</v>
      </c>
      <c r="D125" s="53"/>
    </row>
  </sheetData>
  <mergeCells count="4">
    <mergeCell ref="D5:G5"/>
    <mergeCell ref="D12:G12"/>
    <mergeCell ref="D19:I19"/>
    <mergeCell ref="D26:H26"/>
  </mergeCells>
  <hyperlinks>
    <hyperlink ref="L3" r:id="rId1" xr:uid="{C3ECE9BB-A9D4-400E-81B7-DDA688ED0FFF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71613-9B60-4683-A4C4-06087149E794}">
  <dimension ref="A1:K364"/>
  <sheetViews>
    <sheetView topLeftCell="A89" zoomScale="70" zoomScaleNormal="70" workbookViewId="0">
      <selection activeCell="E81" sqref="E81"/>
    </sheetView>
  </sheetViews>
  <sheetFormatPr defaultRowHeight="14.4" x14ac:dyDescent="0.3"/>
  <cols>
    <col min="1" max="1" width="53.6640625" style="3" customWidth="1"/>
    <col min="2" max="2" width="36" style="3" customWidth="1"/>
    <col min="3" max="3" width="23.77734375" style="3" customWidth="1"/>
    <col min="4" max="4" width="14" style="3" bestFit="1" customWidth="1"/>
    <col min="5" max="5" width="12.88671875" style="3" customWidth="1"/>
    <col min="6" max="6" width="9" style="3" bestFit="1" customWidth="1"/>
    <col min="7" max="7" width="12.6640625" style="3" bestFit="1" customWidth="1"/>
    <col min="8" max="8" width="18.6640625" style="3" customWidth="1"/>
    <col min="9" max="9" width="9.5546875" style="3" bestFit="1" customWidth="1"/>
    <col min="10" max="10" width="11.6640625" style="3" customWidth="1"/>
    <col min="11" max="11" width="13.88671875" style="3" bestFit="1" customWidth="1"/>
    <col min="12" max="16384" width="8.88671875" style="3"/>
  </cols>
  <sheetData>
    <row r="1" spans="1:4" x14ac:dyDescent="0.3">
      <c r="A1" s="1" t="s">
        <v>119</v>
      </c>
    </row>
    <row r="2" spans="1:4" x14ac:dyDescent="0.3">
      <c r="A2" s="54" t="s">
        <v>120</v>
      </c>
    </row>
    <row r="3" spans="1:4" x14ac:dyDescent="0.3">
      <c r="A3" s="3" t="s">
        <v>121</v>
      </c>
      <c r="B3" s="55">
        <v>0.58699999999999997</v>
      </c>
      <c r="C3" s="55">
        <f>SUM(B3/(B3+B5))</f>
        <v>0.79110512129380051</v>
      </c>
      <c r="D3" s="3" t="s">
        <v>122</v>
      </c>
    </row>
    <row r="4" spans="1:4" x14ac:dyDescent="0.3">
      <c r="A4" s="3" t="s">
        <v>123</v>
      </c>
      <c r="B4" s="55">
        <v>0.25800000000000001</v>
      </c>
      <c r="D4" s="3" t="s">
        <v>124</v>
      </c>
    </row>
    <row r="5" spans="1:4" x14ac:dyDescent="0.3">
      <c r="A5" s="3" t="s">
        <v>125</v>
      </c>
      <c r="B5" s="55">
        <f>100%-B3-B4</f>
        <v>0.15500000000000003</v>
      </c>
    </row>
    <row r="7" spans="1:4" x14ac:dyDescent="0.3">
      <c r="A7" s="3" t="s">
        <v>126</v>
      </c>
      <c r="B7" s="8">
        <f>B8+B9</f>
        <v>67079463</v>
      </c>
      <c r="D7" s="3" t="s">
        <v>127</v>
      </c>
    </row>
    <row r="8" spans="1:4" x14ac:dyDescent="0.3">
      <c r="A8" s="3" t="s">
        <v>128</v>
      </c>
      <c r="B8" s="8">
        <v>14842161</v>
      </c>
      <c r="C8" s="56">
        <f>B8/B7</f>
        <v>0.22126237057085565</v>
      </c>
      <c r="D8" s="3" t="s">
        <v>129</v>
      </c>
    </row>
    <row r="9" spans="1:4" x14ac:dyDescent="0.3">
      <c r="A9" s="3" t="s">
        <v>130</v>
      </c>
      <c r="B9" s="8">
        <v>52237302</v>
      </c>
      <c r="C9" s="56">
        <f>B9/B7</f>
        <v>0.77873762942914437</v>
      </c>
      <c r="D9" s="3" t="s">
        <v>131</v>
      </c>
    </row>
    <row r="10" spans="1:4" x14ac:dyDescent="0.3">
      <c r="A10" s="3" t="s">
        <v>132</v>
      </c>
      <c r="B10" s="33">
        <f>B11+(B12/2)</f>
        <v>63600000</v>
      </c>
      <c r="D10" s="3" t="s">
        <v>133</v>
      </c>
    </row>
    <row r="11" spans="1:4" x14ac:dyDescent="0.3">
      <c r="A11" s="3" t="s">
        <v>134</v>
      </c>
      <c r="B11" s="8">
        <v>48600000</v>
      </c>
      <c r="D11" s="3" t="s">
        <v>135</v>
      </c>
    </row>
    <row r="12" spans="1:4" x14ac:dyDescent="0.3">
      <c r="A12" s="3" t="s">
        <v>136</v>
      </c>
      <c r="B12" s="8">
        <v>30000000</v>
      </c>
      <c r="D12" s="3" t="s">
        <v>135</v>
      </c>
    </row>
    <row r="13" spans="1:4" x14ac:dyDescent="0.3">
      <c r="A13" s="2" t="s">
        <v>137</v>
      </c>
      <c r="B13" s="57">
        <f>AVERAGE(B9:B10)</f>
        <v>57918651</v>
      </c>
    </row>
    <row r="14" spans="1:4" x14ac:dyDescent="0.3">
      <c r="A14" s="2" t="s">
        <v>138</v>
      </c>
      <c r="B14" s="57">
        <v>17400000</v>
      </c>
      <c r="D14" s="3" t="s">
        <v>135</v>
      </c>
    </row>
    <row r="15" spans="1:4" x14ac:dyDescent="0.3">
      <c r="A15" s="2" t="s">
        <v>139</v>
      </c>
      <c r="B15" s="57">
        <v>26100000</v>
      </c>
      <c r="D15" s="3" t="s">
        <v>135</v>
      </c>
    </row>
    <row r="17" spans="1:11" x14ac:dyDescent="0.3">
      <c r="A17" s="1" t="s">
        <v>140</v>
      </c>
      <c r="B17" s="8"/>
      <c r="C17" s="33"/>
      <c r="K17" s="8"/>
    </row>
    <row r="18" spans="1:11" x14ac:dyDescent="0.3">
      <c r="A18" s="3" t="s">
        <v>141</v>
      </c>
      <c r="B18" s="33"/>
    </row>
    <row r="19" spans="1:11" x14ac:dyDescent="0.3">
      <c r="A19" s="3" t="s">
        <v>142</v>
      </c>
      <c r="B19" s="8">
        <v>7110963</v>
      </c>
      <c r="D19" s="3" t="s">
        <v>143</v>
      </c>
    </row>
    <row r="20" spans="1:11" x14ac:dyDescent="0.3">
      <c r="A20" s="3" t="s">
        <v>144</v>
      </c>
      <c r="B20" s="33">
        <v>445120</v>
      </c>
      <c r="D20" s="3" t="s">
        <v>145</v>
      </c>
      <c r="G20" s="8">
        <v>431200</v>
      </c>
      <c r="H20" s="3" t="s">
        <v>146</v>
      </c>
    </row>
    <row r="21" spans="1:11" x14ac:dyDescent="0.3">
      <c r="A21" s="58" t="s">
        <v>147</v>
      </c>
      <c r="B21" s="33">
        <f>SUM(B19:B20)</f>
        <v>7556083</v>
      </c>
      <c r="D21" s="3" t="s">
        <v>148</v>
      </c>
      <c r="E21" s="8"/>
    </row>
    <row r="22" spans="1:11" x14ac:dyDescent="0.3">
      <c r="B22" s="8"/>
      <c r="C22" s="33"/>
    </row>
    <row r="23" spans="1:11" x14ac:dyDescent="0.3">
      <c r="A23" s="1" t="s">
        <v>149</v>
      </c>
    </row>
    <row r="24" spans="1:11" x14ac:dyDescent="0.3">
      <c r="A24" s="8">
        <v>240000</v>
      </c>
      <c r="B24" s="3" t="s">
        <v>150</v>
      </c>
    </row>
    <row r="26" spans="1:11" x14ac:dyDescent="0.3">
      <c r="A26" s="1" t="s">
        <v>151</v>
      </c>
      <c r="B26" s="1" t="s">
        <v>152</v>
      </c>
      <c r="I26" s="59" t="s">
        <v>153</v>
      </c>
    </row>
    <row r="27" spans="1:11" x14ac:dyDescent="0.3">
      <c r="A27" s="3">
        <v>2</v>
      </c>
      <c r="B27" s="3" t="s">
        <v>154</v>
      </c>
    </row>
    <row r="28" spans="1:11" x14ac:dyDescent="0.3">
      <c r="A28" s="3">
        <v>3</v>
      </c>
      <c r="B28" s="3" t="s">
        <v>155</v>
      </c>
    </row>
    <row r="29" spans="1:11" x14ac:dyDescent="0.3">
      <c r="A29" s="3">
        <f>AVERAGE(A27:A28)</f>
        <v>2.5</v>
      </c>
      <c r="B29" s="3" t="s">
        <v>156</v>
      </c>
    </row>
    <row r="31" spans="1:11" x14ac:dyDescent="0.3">
      <c r="A31" s="1" t="s">
        <v>157</v>
      </c>
      <c r="B31" s="1" t="s">
        <v>158</v>
      </c>
      <c r="I31" s="59" t="s">
        <v>153</v>
      </c>
    </row>
    <row r="32" spans="1:11" x14ac:dyDescent="0.3">
      <c r="A32" s="38">
        <v>19</v>
      </c>
      <c r="B32" s="3" t="s">
        <v>159</v>
      </c>
    </row>
    <row r="33" spans="1:9" x14ac:dyDescent="0.3">
      <c r="A33" s="35">
        <v>1.4</v>
      </c>
      <c r="B33" s="3" t="s">
        <v>160</v>
      </c>
    </row>
    <row r="34" spans="1:9" x14ac:dyDescent="0.3">
      <c r="A34" s="60">
        <f>100-(100/19*A33)</f>
        <v>92.631578947368425</v>
      </c>
      <c r="B34" s="3" t="s">
        <v>161</v>
      </c>
    </row>
    <row r="36" spans="1:9" x14ac:dyDescent="0.3">
      <c r="A36" s="1" t="s">
        <v>162</v>
      </c>
      <c r="B36" s="1" t="s">
        <v>163</v>
      </c>
      <c r="I36" s="59" t="s">
        <v>164</v>
      </c>
    </row>
    <row r="37" spans="1:9" x14ac:dyDescent="0.3">
      <c r="A37" s="3">
        <v>10.7</v>
      </c>
      <c r="B37" s="3" t="s">
        <v>165</v>
      </c>
      <c r="D37" s="3" t="s">
        <v>166</v>
      </c>
    </row>
    <row r="39" spans="1:9" x14ac:dyDescent="0.3">
      <c r="A39" s="1" t="s">
        <v>167</v>
      </c>
    </row>
    <row r="40" spans="1:9" x14ac:dyDescent="0.3">
      <c r="A40" s="61">
        <v>300000</v>
      </c>
      <c r="B40" s="3" t="s">
        <v>168</v>
      </c>
      <c r="D40" s="3" t="s">
        <v>169</v>
      </c>
    </row>
    <row r="41" spans="1:9" x14ac:dyDescent="0.3">
      <c r="A41" s="61">
        <f>A40/C3</f>
        <v>379216.35434412269</v>
      </c>
      <c r="B41" s="3" t="s">
        <v>168</v>
      </c>
      <c r="D41" s="3" t="s">
        <v>170</v>
      </c>
    </row>
    <row r="43" spans="1:9" ht="15" customHeight="1" x14ac:dyDescent="0.3">
      <c r="A43" s="1" t="s">
        <v>171</v>
      </c>
    </row>
    <row r="44" spans="1:9" ht="15" customHeight="1" x14ac:dyDescent="0.3">
      <c r="A44" s="34">
        <v>0.1</v>
      </c>
      <c r="B44" s="3" t="s">
        <v>98</v>
      </c>
      <c r="D44" s="3" t="s">
        <v>172</v>
      </c>
    </row>
    <row r="45" spans="1:9" ht="15" customHeight="1" x14ac:dyDescent="0.3">
      <c r="A45" s="34">
        <v>0.2</v>
      </c>
      <c r="B45" s="3" t="s">
        <v>99</v>
      </c>
    </row>
    <row r="46" spans="1:9" x14ac:dyDescent="0.3">
      <c r="A46" s="34">
        <v>0.3</v>
      </c>
      <c r="B46" s="3" t="s">
        <v>173</v>
      </c>
      <c r="D46" s="3" t="s">
        <v>174</v>
      </c>
    </row>
    <row r="47" spans="1:9" x14ac:dyDescent="0.3">
      <c r="A47" s="62"/>
    </row>
    <row r="48" spans="1:9" x14ac:dyDescent="0.3">
      <c r="A48" s="1" t="s">
        <v>175</v>
      </c>
    </row>
    <row r="49" spans="1:11" x14ac:dyDescent="0.3">
      <c r="A49" s="38">
        <v>16</v>
      </c>
      <c r="B49" s="3" t="s">
        <v>176</v>
      </c>
      <c r="D49" s="3" t="s">
        <v>177</v>
      </c>
    </row>
    <row r="50" spans="1:11" x14ac:dyDescent="0.3">
      <c r="A50" s="38"/>
    </row>
    <row r="51" spans="1:11" x14ac:dyDescent="0.3">
      <c r="A51" s="1" t="s">
        <v>178</v>
      </c>
    </row>
    <row r="52" spans="1:11" x14ac:dyDescent="0.3">
      <c r="A52" s="38">
        <v>31</v>
      </c>
      <c r="B52" s="3" t="s">
        <v>176</v>
      </c>
      <c r="D52" s="3" t="s">
        <v>179</v>
      </c>
    </row>
    <row r="54" spans="1:11" x14ac:dyDescent="0.3">
      <c r="A54" s="1" t="s">
        <v>180</v>
      </c>
    </row>
    <row r="55" spans="1:11" x14ac:dyDescent="0.3">
      <c r="A55" s="63">
        <v>1.96</v>
      </c>
      <c r="B55" s="3" t="s">
        <v>181</v>
      </c>
      <c r="D55" s="3" t="s">
        <v>182</v>
      </c>
    </row>
    <row r="56" spans="1:11" x14ac:dyDescent="0.3">
      <c r="A56" s="63">
        <f>SUM(A55/B154)*B147</f>
        <v>1.747438</v>
      </c>
      <c r="B56" s="3" t="s">
        <v>183</v>
      </c>
      <c r="D56" s="3" t="s">
        <v>184</v>
      </c>
    </row>
    <row r="57" spans="1:11" x14ac:dyDescent="0.3">
      <c r="A57" s="63"/>
    </row>
    <row r="58" spans="1:11" x14ac:dyDescent="0.3">
      <c r="A58" s="64" t="s">
        <v>185</v>
      </c>
    </row>
    <row r="59" spans="1:11" x14ac:dyDescent="0.3">
      <c r="A59" s="8">
        <v>134275</v>
      </c>
      <c r="B59" s="3" t="s">
        <v>186</v>
      </c>
      <c r="K59" s="3" t="s">
        <v>187</v>
      </c>
    </row>
    <row r="60" spans="1:11" x14ac:dyDescent="0.3">
      <c r="A60" s="8">
        <v>18980</v>
      </c>
      <c r="B60" s="3" t="s">
        <v>188</v>
      </c>
      <c r="K60" s="3" t="s">
        <v>187</v>
      </c>
    </row>
    <row r="61" spans="1:11" ht="18.600000000000001" customHeight="1" x14ac:dyDescent="0.3">
      <c r="A61" s="65">
        <f>A59/A60</f>
        <v>7.0745521601685981</v>
      </c>
      <c r="B61" s="3" t="s">
        <v>189</v>
      </c>
    </row>
    <row r="62" spans="1:11" x14ac:dyDescent="0.3">
      <c r="A62" s="65"/>
    </row>
    <row r="63" spans="1:11" x14ac:dyDescent="0.3">
      <c r="A63" s="1" t="s">
        <v>190</v>
      </c>
      <c r="B63" s="3" t="s">
        <v>191</v>
      </c>
      <c r="C63" s="3" t="s">
        <v>192</v>
      </c>
      <c r="D63" s="3" t="s">
        <v>30</v>
      </c>
      <c r="E63" s="3">
        <v>1.6093440000000001</v>
      </c>
      <c r="F63" s="3" t="s">
        <v>193</v>
      </c>
    </row>
    <row r="64" spans="1:11" x14ac:dyDescent="0.3">
      <c r="A64" s="3" t="s">
        <v>194</v>
      </c>
      <c r="B64" s="3">
        <v>8.6</v>
      </c>
      <c r="C64" s="35">
        <f>B64*$E$63</f>
        <v>13.8403584</v>
      </c>
      <c r="D64" s="3" t="s">
        <v>195</v>
      </c>
    </row>
    <row r="65" spans="1:4" x14ac:dyDescent="0.3">
      <c r="A65" s="3" t="s">
        <v>196</v>
      </c>
      <c r="B65" s="3">
        <v>3.4</v>
      </c>
      <c r="C65" s="35">
        <f t="shared" ref="C65:C68" si="0">B65*$E$63</f>
        <v>5.4717696</v>
      </c>
      <c r="D65" s="3" t="s">
        <v>195</v>
      </c>
    </row>
    <row r="66" spans="1:4" x14ac:dyDescent="0.3">
      <c r="A66" s="3" t="s">
        <v>197</v>
      </c>
      <c r="B66" s="3">
        <v>0.7</v>
      </c>
      <c r="C66" s="35">
        <f t="shared" si="0"/>
        <v>1.1265407999999999</v>
      </c>
      <c r="D66" s="3" t="s">
        <v>195</v>
      </c>
    </row>
    <row r="67" spans="1:4" x14ac:dyDescent="0.3">
      <c r="A67" s="3" t="s">
        <v>198</v>
      </c>
      <c r="B67" s="3">
        <v>3.9</v>
      </c>
      <c r="C67" s="35">
        <f t="shared" si="0"/>
        <v>6.2764416000000001</v>
      </c>
      <c r="D67" s="3" t="s">
        <v>199</v>
      </c>
    </row>
    <row r="68" spans="1:4" x14ac:dyDescent="0.3">
      <c r="A68" s="3" t="s">
        <v>200</v>
      </c>
      <c r="B68" s="3">
        <v>29.3</v>
      </c>
      <c r="C68" s="35">
        <f t="shared" si="0"/>
        <v>47.153779200000002</v>
      </c>
      <c r="D68" s="3" t="s">
        <v>195</v>
      </c>
    </row>
    <row r="69" spans="1:4" x14ac:dyDescent="0.3">
      <c r="A69" s="3" t="s">
        <v>201</v>
      </c>
      <c r="B69" s="66">
        <v>4.0999999999999996</v>
      </c>
      <c r="C69" s="66">
        <v>6.6</v>
      </c>
      <c r="D69" s="3" t="s">
        <v>202</v>
      </c>
    </row>
    <row r="71" spans="1:4" x14ac:dyDescent="0.3">
      <c r="A71" s="1" t="s">
        <v>203</v>
      </c>
      <c r="B71" s="1" t="s">
        <v>204</v>
      </c>
    </row>
    <row r="72" spans="1:4" x14ac:dyDescent="0.3">
      <c r="A72" s="67" t="s">
        <v>205</v>
      </c>
      <c r="B72" s="1"/>
    </row>
    <row r="73" spans="1:4" x14ac:dyDescent="0.3">
      <c r="A73" s="68">
        <v>9.3415356920067225</v>
      </c>
      <c r="B73" s="3">
        <v>2019</v>
      </c>
      <c r="C73" s="3" t="s">
        <v>206</v>
      </c>
    </row>
    <row r="74" spans="1:4" x14ac:dyDescent="0.3">
      <c r="A74" s="68">
        <v>9.420583297042457</v>
      </c>
      <c r="B74" s="3">
        <v>2020</v>
      </c>
      <c r="C74" s="3" t="s">
        <v>206</v>
      </c>
    </row>
    <row r="75" spans="1:4" x14ac:dyDescent="0.3">
      <c r="A75" s="68">
        <v>9.5058445635091378</v>
      </c>
      <c r="B75" s="3">
        <v>2021</v>
      </c>
      <c r="C75" s="3" t="s">
        <v>206</v>
      </c>
    </row>
    <row r="76" spans="1:4" x14ac:dyDescent="0.3">
      <c r="A76" s="68">
        <v>9.5985762231068463</v>
      </c>
      <c r="B76" s="3">
        <v>2022</v>
      </c>
      <c r="C76" s="3" t="s">
        <v>206</v>
      </c>
    </row>
    <row r="77" spans="1:4" x14ac:dyDescent="0.3">
      <c r="A77" s="68">
        <v>9.7021068693748393</v>
      </c>
      <c r="B77" s="3">
        <v>2023</v>
      </c>
      <c r="C77" s="3" t="s">
        <v>206</v>
      </c>
    </row>
    <row r="78" spans="1:4" x14ac:dyDescent="0.3">
      <c r="A78" s="68">
        <v>9.8257387886960466</v>
      </c>
      <c r="B78" s="3">
        <v>2024</v>
      </c>
      <c r="C78" s="3" t="s">
        <v>206</v>
      </c>
    </row>
    <row r="79" spans="1:4" x14ac:dyDescent="0.3">
      <c r="A79" s="68">
        <v>9.9654794818508563</v>
      </c>
      <c r="B79" s="3">
        <v>2025</v>
      </c>
      <c r="C79" s="3" t="s">
        <v>206</v>
      </c>
    </row>
    <row r="80" spans="1:4" x14ac:dyDescent="0.3">
      <c r="A80" s="68">
        <v>10.119429002323296</v>
      </c>
      <c r="B80" s="3">
        <v>2026</v>
      </c>
      <c r="C80" s="3" t="s">
        <v>206</v>
      </c>
    </row>
    <row r="81" spans="1:3" x14ac:dyDescent="0.3">
      <c r="A81" s="68">
        <v>10.286987467769416</v>
      </c>
      <c r="B81" s="3">
        <v>2027</v>
      </c>
      <c r="C81" s="3" t="s">
        <v>206</v>
      </c>
    </row>
    <row r="82" spans="1:3" x14ac:dyDescent="0.3">
      <c r="A82" s="68">
        <v>10.467858737073339</v>
      </c>
      <c r="B82" s="3">
        <v>2028</v>
      </c>
      <c r="C82" s="3" t="s">
        <v>206</v>
      </c>
    </row>
    <row r="83" spans="1:3" x14ac:dyDescent="0.3">
      <c r="A83" s="68">
        <v>10.656794948966535</v>
      </c>
      <c r="B83" s="3">
        <v>2029</v>
      </c>
      <c r="C83" s="3" t="s">
        <v>206</v>
      </c>
    </row>
    <row r="84" spans="1:3" x14ac:dyDescent="0.3">
      <c r="A84" s="68">
        <v>10.859211629479033</v>
      </c>
      <c r="B84" s="3">
        <v>2030</v>
      </c>
      <c r="C84" s="3" t="s">
        <v>206</v>
      </c>
    </row>
    <row r="85" spans="1:3" x14ac:dyDescent="0.3">
      <c r="A85" s="68">
        <v>11.064903858544881</v>
      </c>
      <c r="B85" s="3">
        <v>2031</v>
      </c>
      <c r="C85" s="3" t="s">
        <v>206</v>
      </c>
    </row>
    <row r="86" spans="1:3" x14ac:dyDescent="0.3">
      <c r="A86" s="68">
        <v>11.273515780811486</v>
      </c>
      <c r="B86" s="3">
        <v>2032</v>
      </c>
      <c r="C86" s="3" t="s">
        <v>206</v>
      </c>
    </row>
    <row r="87" spans="1:3" x14ac:dyDescent="0.3">
      <c r="A87" s="68">
        <v>11.484263206778953</v>
      </c>
      <c r="B87" s="3">
        <v>2033</v>
      </c>
      <c r="C87" s="3" t="s">
        <v>206</v>
      </c>
    </row>
    <row r="88" spans="1:3" x14ac:dyDescent="0.3">
      <c r="A88" s="68">
        <v>11.700143713308103</v>
      </c>
      <c r="B88" s="3">
        <v>2034</v>
      </c>
      <c r="C88" s="3" t="s">
        <v>206</v>
      </c>
    </row>
    <row r="89" spans="1:3" x14ac:dyDescent="0.3">
      <c r="A89" s="68">
        <v>11.923565583957798</v>
      </c>
      <c r="B89" s="3">
        <v>2035</v>
      </c>
      <c r="C89" s="3" t="s">
        <v>206</v>
      </c>
    </row>
    <row r="90" spans="1:3" x14ac:dyDescent="0.3">
      <c r="A90" s="68">
        <v>12.158450719577962</v>
      </c>
      <c r="B90" s="3">
        <v>2036</v>
      </c>
      <c r="C90" s="3" t="s">
        <v>206</v>
      </c>
    </row>
    <row r="91" spans="1:3" x14ac:dyDescent="0.3">
      <c r="A91" s="68">
        <v>12.399532652698532</v>
      </c>
      <c r="B91" s="3">
        <v>2037</v>
      </c>
      <c r="C91" s="3" t="s">
        <v>206</v>
      </c>
    </row>
    <row r="92" spans="1:3" x14ac:dyDescent="0.3">
      <c r="A92" s="68">
        <v>12.645669042058149</v>
      </c>
      <c r="B92" s="3">
        <v>2038</v>
      </c>
      <c r="C92" s="3" t="s">
        <v>206</v>
      </c>
    </row>
    <row r="93" spans="1:3" x14ac:dyDescent="0.3">
      <c r="A93" s="69"/>
    </row>
    <row r="94" spans="1:3" x14ac:dyDescent="0.3">
      <c r="A94" s="1" t="s">
        <v>207</v>
      </c>
      <c r="B94" s="1" t="s">
        <v>204</v>
      </c>
    </row>
    <row r="95" spans="1:3" x14ac:dyDescent="0.3">
      <c r="A95" s="67" t="s">
        <v>208</v>
      </c>
      <c r="B95" s="1"/>
    </row>
    <row r="96" spans="1:3" x14ac:dyDescent="0.3">
      <c r="A96" s="70" t="s">
        <v>209</v>
      </c>
      <c r="B96" s="70" t="s">
        <v>210</v>
      </c>
      <c r="C96" s="3" t="s">
        <v>211</v>
      </c>
    </row>
    <row r="97" spans="1:5" x14ac:dyDescent="0.3">
      <c r="A97" s="71">
        <v>20.93768515409527</v>
      </c>
      <c r="B97" s="65">
        <v>20.116817147581955</v>
      </c>
      <c r="C97" s="65">
        <f>AVERAGE(A97:B97)</f>
        <v>20.527251150838612</v>
      </c>
      <c r="D97" s="3">
        <v>2019</v>
      </c>
      <c r="E97" s="3" t="s">
        <v>206</v>
      </c>
    </row>
    <row r="98" spans="1:5" x14ac:dyDescent="0.3">
      <c r="A98" s="71">
        <v>21.114858792455358</v>
      </c>
      <c r="B98" s="65">
        <v>20.287044642170326</v>
      </c>
      <c r="C98" s="65">
        <f t="shared" ref="C98:C116" si="1">AVERAGE(A98:B98)</f>
        <v>20.70095171731284</v>
      </c>
      <c r="D98" s="3">
        <v>2020</v>
      </c>
      <c r="E98" s="3" t="s">
        <v>206</v>
      </c>
    </row>
    <row r="99" spans="1:5" x14ac:dyDescent="0.3">
      <c r="A99" s="71">
        <v>21.305959443566323</v>
      </c>
      <c r="B99" s="65">
        <v>20.470653136943739</v>
      </c>
      <c r="C99" s="65">
        <f t="shared" si="1"/>
        <v>20.888306290255031</v>
      </c>
      <c r="D99" s="3">
        <v>2021</v>
      </c>
      <c r="E99" s="3" t="s">
        <v>206</v>
      </c>
    </row>
    <row r="100" spans="1:5" x14ac:dyDescent="0.3">
      <c r="A100" s="71">
        <v>21.513803887615808</v>
      </c>
      <c r="B100" s="65">
        <v>20.670348979407322</v>
      </c>
      <c r="C100" s="65">
        <f t="shared" si="1"/>
        <v>21.092076433511565</v>
      </c>
      <c r="D100" s="3">
        <v>2022</v>
      </c>
      <c r="E100" s="3" t="s">
        <v>206</v>
      </c>
    </row>
    <row r="101" spans="1:5" x14ac:dyDescent="0.3">
      <c r="A101" s="71">
        <v>21.745852679894583</v>
      </c>
      <c r="B101" s="65">
        <v>20.893300231622344</v>
      </c>
      <c r="C101" s="65">
        <f t="shared" si="1"/>
        <v>21.319576455758465</v>
      </c>
      <c r="D101" s="3">
        <v>2023</v>
      </c>
      <c r="E101" s="3" t="s">
        <v>206</v>
      </c>
    </row>
    <row r="102" spans="1:5" x14ac:dyDescent="0.3">
      <c r="A102" s="71">
        <v>22.022955533974446</v>
      </c>
      <c r="B102" s="65">
        <v>21.159539188105423</v>
      </c>
      <c r="C102" s="65">
        <f t="shared" si="1"/>
        <v>21.591247361039933</v>
      </c>
      <c r="D102" s="3">
        <v>2024</v>
      </c>
      <c r="E102" s="3" t="s">
        <v>206</v>
      </c>
    </row>
    <row r="103" spans="1:5" x14ac:dyDescent="0.3">
      <c r="A103" s="71">
        <v>22.336163847142267</v>
      </c>
      <c r="B103" s="65">
        <v>21.460468078702824</v>
      </c>
      <c r="C103" s="65">
        <f t="shared" si="1"/>
        <v>21.898315962922545</v>
      </c>
      <c r="D103" s="3">
        <v>2025</v>
      </c>
      <c r="E103" s="3" t="s">
        <v>206</v>
      </c>
    </row>
    <row r="104" spans="1:5" x14ac:dyDescent="0.3">
      <c r="A104" s="71">
        <v>22.68121916733271</v>
      </c>
      <c r="B104" s="65">
        <v>21.791995405194974</v>
      </c>
      <c r="C104" s="65">
        <f t="shared" si="1"/>
        <v>22.23660728626384</v>
      </c>
      <c r="D104" s="3">
        <v>2026</v>
      </c>
      <c r="E104" s="3" t="s">
        <v>206</v>
      </c>
    </row>
    <row r="105" spans="1:5" x14ac:dyDescent="0.3">
      <c r="A105" s="71">
        <v>23.05677694606241</v>
      </c>
      <c r="B105" s="65">
        <v>22.15282933251094</v>
      </c>
      <c r="C105" s="65">
        <f t="shared" si="1"/>
        <v>22.604803139286673</v>
      </c>
      <c r="D105" s="3">
        <v>2027</v>
      </c>
      <c r="E105" s="3" t="s">
        <v>206</v>
      </c>
    </row>
    <row r="106" spans="1:5" x14ac:dyDescent="0.3">
      <c r="A106" s="71">
        <v>23.462173426359282</v>
      </c>
      <c r="B106" s="65">
        <v>22.542332126462849</v>
      </c>
      <c r="C106" s="65">
        <f t="shared" si="1"/>
        <v>23.002252776411066</v>
      </c>
      <c r="D106" s="3">
        <v>2028</v>
      </c>
      <c r="E106" s="3" t="s">
        <v>206</v>
      </c>
    </row>
    <row r="107" spans="1:5" x14ac:dyDescent="0.3">
      <c r="A107" s="71">
        <v>23.885646295195194</v>
      </c>
      <c r="B107" s="65">
        <v>22.949202618909229</v>
      </c>
      <c r="C107" s="65">
        <f t="shared" si="1"/>
        <v>23.417424457052213</v>
      </c>
      <c r="D107" s="3">
        <v>2029</v>
      </c>
      <c r="E107" s="3" t="s">
        <v>206</v>
      </c>
    </row>
    <row r="108" spans="1:5" x14ac:dyDescent="0.3">
      <c r="A108" s="71">
        <v>24.33933366162406</v>
      </c>
      <c r="B108" s="65">
        <v>23.385103040825374</v>
      </c>
      <c r="C108" s="65">
        <f t="shared" si="1"/>
        <v>23.862218351224719</v>
      </c>
      <c r="D108" s="3">
        <v>2030</v>
      </c>
      <c r="E108" s="3" t="s">
        <v>206</v>
      </c>
    </row>
    <row r="109" spans="1:5" x14ac:dyDescent="0.3">
      <c r="A109" s="71">
        <v>24.800362690770715</v>
      </c>
      <c r="B109" s="65">
        <v>23.828057293447547</v>
      </c>
      <c r="C109" s="65">
        <f t="shared" si="1"/>
        <v>24.314209992109131</v>
      </c>
      <c r="D109" s="3">
        <v>2031</v>
      </c>
      <c r="E109" s="3" t="s">
        <v>206</v>
      </c>
    </row>
    <row r="110" spans="1:5" x14ac:dyDescent="0.3">
      <c r="A110" s="71">
        <v>25.267935784940477</v>
      </c>
      <c r="B110" s="65">
        <v>24.277299049129514</v>
      </c>
      <c r="C110" s="65">
        <f t="shared" si="1"/>
        <v>24.772617417034994</v>
      </c>
      <c r="D110" s="3">
        <v>2032</v>
      </c>
      <c r="E110" s="3" t="s">
        <v>206</v>
      </c>
    </row>
    <row r="111" spans="1:5" x14ac:dyDescent="0.3">
      <c r="A111" s="71">
        <v>25.740295298132569</v>
      </c>
      <c r="B111" s="65">
        <v>24.731139570890701</v>
      </c>
      <c r="C111" s="65">
        <f t="shared" si="1"/>
        <v>25.235717434511635</v>
      </c>
      <c r="D111" s="3">
        <v>2033</v>
      </c>
      <c r="E111" s="3" t="s">
        <v>206</v>
      </c>
    </row>
    <row r="112" spans="1:5" x14ac:dyDescent="0.3">
      <c r="A112" s="71">
        <v>26.224159860196131</v>
      </c>
      <c r="B112" s="65">
        <v>25.196034082752423</v>
      </c>
      <c r="C112" s="65">
        <f t="shared" si="1"/>
        <v>25.710096971474279</v>
      </c>
      <c r="D112" s="3">
        <v>2034</v>
      </c>
      <c r="E112" s="3" t="s">
        <v>206</v>
      </c>
    </row>
    <row r="113" spans="1:5" x14ac:dyDescent="0.3">
      <c r="A113" s="71">
        <v>26.724927286284863</v>
      </c>
      <c r="B113" s="65">
        <v>25.677168776962976</v>
      </c>
      <c r="C113" s="65">
        <f t="shared" si="1"/>
        <v>26.20104803162392</v>
      </c>
      <c r="D113" s="3">
        <v>2035</v>
      </c>
      <c r="E113" s="3" t="s">
        <v>206</v>
      </c>
    </row>
    <row r="114" spans="1:5" x14ac:dyDescent="0.3">
      <c r="A114" s="71">
        <v>27.251387943198068</v>
      </c>
      <c r="B114" s="65">
        <v>26.182989391447059</v>
      </c>
      <c r="C114" s="65">
        <f t="shared" si="1"/>
        <v>26.717188667322564</v>
      </c>
      <c r="D114" s="3">
        <v>2036</v>
      </c>
      <c r="E114" s="3" t="s">
        <v>206</v>
      </c>
    </row>
    <row r="115" spans="1:5" x14ac:dyDescent="0.3">
      <c r="A115" s="71">
        <v>27.791737814829812</v>
      </c>
      <c r="B115" s="65">
        <v>26.702154689966655</v>
      </c>
      <c r="C115" s="65">
        <f t="shared" si="1"/>
        <v>27.246946252398232</v>
      </c>
      <c r="D115" s="3">
        <v>2037</v>
      </c>
      <c r="E115" s="3" t="s">
        <v>206</v>
      </c>
    </row>
    <row r="116" spans="1:5" x14ac:dyDescent="0.3">
      <c r="A116" s="71">
        <v>28.343416510420212</v>
      </c>
      <c r="B116" s="65">
        <v>27.232204662622674</v>
      </c>
      <c r="C116" s="65">
        <f t="shared" si="1"/>
        <v>27.787810586521445</v>
      </c>
      <c r="D116" s="3">
        <v>2038</v>
      </c>
      <c r="E116" s="3" t="s">
        <v>206</v>
      </c>
    </row>
    <row r="117" spans="1:5" x14ac:dyDescent="0.3">
      <c r="A117" s="69"/>
    </row>
    <row r="118" spans="1:5" x14ac:dyDescent="0.3">
      <c r="A118" s="69"/>
    </row>
    <row r="119" spans="1:5" x14ac:dyDescent="0.3">
      <c r="A119" s="69"/>
    </row>
    <row r="121" spans="1:5" x14ac:dyDescent="0.3">
      <c r="A121" s="1" t="s">
        <v>212</v>
      </c>
    </row>
    <row r="122" spans="1:5" x14ac:dyDescent="0.3">
      <c r="A122" s="62">
        <v>3.5000000000000003E-2</v>
      </c>
      <c r="B122" s="3" t="s">
        <v>168</v>
      </c>
      <c r="D122" s="3" t="s">
        <v>213</v>
      </c>
    </row>
    <row r="123" spans="1:5" x14ac:dyDescent="0.3">
      <c r="A123" s="3" t="s">
        <v>214</v>
      </c>
    </row>
    <row r="124" spans="1:5" x14ac:dyDescent="0.3">
      <c r="A124" s="72">
        <v>2019</v>
      </c>
      <c r="B124" s="72"/>
      <c r="C124" s="73">
        <v>1</v>
      </c>
      <c r="D124" s="72" t="s">
        <v>215</v>
      </c>
    </row>
    <row r="125" spans="1:5" x14ac:dyDescent="0.3">
      <c r="A125" s="72">
        <v>2020</v>
      </c>
      <c r="B125" s="72"/>
      <c r="C125" s="74">
        <f>C124*(1-$A$122)</f>
        <v>0.96499999999999997</v>
      </c>
      <c r="D125" s="72" t="s">
        <v>216</v>
      </c>
    </row>
    <row r="126" spans="1:5" x14ac:dyDescent="0.3">
      <c r="A126" s="72">
        <v>2021</v>
      </c>
      <c r="B126" s="72"/>
      <c r="C126" s="74">
        <f t="shared" ref="C126:C143" si="2">C125*(1-$A$122)</f>
        <v>0.93122499999999997</v>
      </c>
      <c r="D126" s="72" t="s">
        <v>217</v>
      </c>
    </row>
    <row r="127" spans="1:5" x14ac:dyDescent="0.3">
      <c r="A127" s="72">
        <v>2022</v>
      </c>
      <c r="B127" s="72"/>
      <c r="C127" s="74">
        <f t="shared" si="2"/>
        <v>0.89863212499999989</v>
      </c>
      <c r="D127" s="72"/>
    </row>
    <row r="128" spans="1:5" x14ac:dyDescent="0.3">
      <c r="A128" s="72">
        <v>2023</v>
      </c>
      <c r="B128" s="72"/>
      <c r="C128" s="74">
        <f t="shared" si="2"/>
        <v>0.86718000062499989</v>
      </c>
      <c r="D128" s="72"/>
    </row>
    <row r="129" spans="1:4" x14ac:dyDescent="0.3">
      <c r="A129" s="72">
        <v>2024</v>
      </c>
      <c r="B129" s="72"/>
      <c r="C129" s="74">
        <f t="shared" si="2"/>
        <v>0.83682870060312486</v>
      </c>
      <c r="D129" s="72"/>
    </row>
    <row r="130" spans="1:4" x14ac:dyDescent="0.3">
      <c r="A130" s="72">
        <v>2025</v>
      </c>
      <c r="B130" s="72"/>
      <c r="C130" s="74">
        <f t="shared" si="2"/>
        <v>0.80753969608201548</v>
      </c>
      <c r="D130" s="72"/>
    </row>
    <row r="131" spans="1:4" x14ac:dyDescent="0.3">
      <c r="A131" s="72">
        <v>2026</v>
      </c>
      <c r="B131" s="72"/>
      <c r="C131" s="74">
        <f t="shared" si="2"/>
        <v>0.77927580671914487</v>
      </c>
      <c r="D131" s="72"/>
    </row>
    <row r="132" spans="1:4" x14ac:dyDescent="0.3">
      <c r="A132" s="72">
        <v>2027</v>
      </c>
      <c r="B132" s="72"/>
      <c r="C132" s="74">
        <f t="shared" si="2"/>
        <v>0.75200115348397478</v>
      </c>
      <c r="D132" s="72"/>
    </row>
    <row r="133" spans="1:4" x14ac:dyDescent="0.3">
      <c r="A133" s="72">
        <v>2028</v>
      </c>
      <c r="B133" s="72"/>
      <c r="C133" s="74">
        <f t="shared" si="2"/>
        <v>0.72568111311203565</v>
      </c>
      <c r="D133" s="72"/>
    </row>
    <row r="134" spans="1:4" x14ac:dyDescent="0.3">
      <c r="A134" s="72">
        <v>2029</v>
      </c>
      <c r="B134" s="72"/>
      <c r="C134" s="74">
        <f t="shared" si="2"/>
        <v>0.70028227415311439</v>
      </c>
      <c r="D134" s="72"/>
    </row>
    <row r="135" spans="1:4" x14ac:dyDescent="0.3">
      <c r="A135" s="72">
        <v>2030</v>
      </c>
      <c r="B135" s="72"/>
      <c r="C135" s="74">
        <f t="shared" si="2"/>
        <v>0.6757723945577554</v>
      </c>
      <c r="D135" s="72"/>
    </row>
    <row r="136" spans="1:4" x14ac:dyDescent="0.3">
      <c r="A136" s="72">
        <v>2031</v>
      </c>
      <c r="B136" s="72"/>
      <c r="C136" s="74">
        <f t="shared" si="2"/>
        <v>0.65212036074823398</v>
      </c>
      <c r="D136" s="72"/>
    </row>
    <row r="137" spans="1:4" x14ac:dyDescent="0.3">
      <c r="A137" s="72">
        <v>2032</v>
      </c>
      <c r="B137" s="72"/>
      <c r="C137" s="74">
        <f t="shared" si="2"/>
        <v>0.62929614812204582</v>
      </c>
      <c r="D137" s="72"/>
    </row>
    <row r="138" spans="1:4" x14ac:dyDescent="0.3">
      <c r="A138" s="72">
        <v>2033</v>
      </c>
      <c r="B138" s="72"/>
      <c r="C138" s="74">
        <f t="shared" si="2"/>
        <v>0.60727078293777415</v>
      </c>
      <c r="D138" s="72"/>
    </row>
    <row r="139" spans="1:4" x14ac:dyDescent="0.3">
      <c r="A139" s="72">
        <v>2034</v>
      </c>
      <c r="B139" s="72"/>
      <c r="C139" s="74">
        <f t="shared" si="2"/>
        <v>0.58601630553495199</v>
      </c>
      <c r="D139" s="72"/>
    </row>
    <row r="140" spans="1:4" x14ac:dyDescent="0.3">
      <c r="A140" s="72">
        <v>2035</v>
      </c>
      <c r="B140" s="72"/>
      <c r="C140" s="74">
        <f t="shared" si="2"/>
        <v>0.56550573484122868</v>
      </c>
      <c r="D140" s="72"/>
    </row>
    <row r="141" spans="1:4" x14ac:dyDescent="0.3">
      <c r="A141" s="72">
        <v>2036</v>
      </c>
      <c r="B141" s="72"/>
      <c r="C141" s="74">
        <f t="shared" si="2"/>
        <v>0.54571303412178562</v>
      </c>
      <c r="D141" s="72"/>
    </row>
    <row r="142" spans="1:4" x14ac:dyDescent="0.3">
      <c r="A142" s="72">
        <v>2037</v>
      </c>
      <c r="B142" s="72"/>
      <c r="C142" s="74">
        <f t="shared" si="2"/>
        <v>0.5266130779275231</v>
      </c>
      <c r="D142" s="72"/>
    </row>
    <row r="143" spans="1:4" x14ac:dyDescent="0.3">
      <c r="A143" s="72">
        <v>2038</v>
      </c>
      <c r="B143" s="72"/>
      <c r="C143" s="74">
        <f t="shared" si="2"/>
        <v>0.50818162020005975</v>
      </c>
      <c r="D143" s="72"/>
    </row>
    <row r="144" spans="1:4" x14ac:dyDescent="0.3">
      <c r="A144" s="72"/>
      <c r="B144" s="72"/>
      <c r="C144" s="75"/>
      <c r="D144" s="72"/>
    </row>
    <row r="145" spans="1:4" x14ac:dyDescent="0.3">
      <c r="A145" s="72"/>
      <c r="B145" s="72"/>
      <c r="C145" s="75"/>
      <c r="D145" s="72"/>
    </row>
    <row r="146" spans="1:4" x14ac:dyDescent="0.3">
      <c r="A146" s="76" t="s">
        <v>218</v>
      </c>
      <c r="B146" s="1" t="s">
        <v>219</v>
      </c>
      <c r="C146" s="75"/>
      <c r="D146" s="72"/>
    </row>
    <row r="147" spans="1:4" x14ac:dyDescent="0.3">
      <c r="A147" s="72">
        <v>2010</v>
      </c>
      <c r="B147" s="77">
        <v>100</v>
      </c>
      <c r="D147" s="72"/>
    </row>
    <row r="148" spans="1:4" x14ac:dyDescent="0.3">
      <c r="A148" s="72">
        <v>2011</v>
      </c>
      <c r="B148" s="77">
        <v>101.92069990466041</v>
      </c>
      <c r="D148" s="72"/>
    </row>
    <row r="149" spans="1:4" x14ac:dyDescent="0.3">
      <c r="A149" s="72">
        <v>2012</v>
      </c>
      <c r="B149" s="77">
        <v>103.50939375245358</v>
      </c>
      <c r="D149" s="72"/>
    </row>
    <row r="150" spans="1:4" x14ac:dyDescent="0.3">
      <c r="A150" s="72">
        <v>2013</v>
      </c>
      <c r="B150" s="77">
        <v>105.44018843587011</v>
      </c>
      <c r="D150" s="72"/>
    </row>
    <row r="151" spans="1:4" x14ac:dyDescent="0.3">
      <c r="A151" s="72">
        <v>2014</v>
      </c>
      <c r="B151" s="77">
        <v>107.24849980371263</v>
      </c>
      <c r="D151" s="72"/>
    </row>
    <row r="152" spans="1:4" x14ac:dyDescent="0.3">
      <c r="A152" s="72">
        <v>2015</v>
      </c>
      <c r="B152" s="77">
        <v>107.71577589591162</v>
      </c>
      <c r="D152" s="72"/>
    </row>
    <row r="153" spans="1:4" x14ac:dyDescent="0.3">
      <c r="A153" s="72">
        <v>2016</v>
      </c>
      <c r="B153" s="77">
        <v>109.93225281812573</v>
      </c>
      <c r="D153" s="72"/>
    </row>
    <row r="154" spans="1:4" x14ac:dyDescent="0.3">
      <c r="A154" s="72">
        <v>2017</v>
      </c>
      <c r="B154" s="77">
        <v>112.1642084010992</v>
      </c>
      <c r="D154" s="72"/>
    </row>
    <row r="155" spans="1:4" x14ac:dyDescent="0.3">
      <c r="A155" s="3">
        <v>2018</v>
      </c>
      <c r="B155" s="65">
        <v>114.2414591155559</v>
      </c>
    </row>
    <row r="156" spans="1:4" x14ac:dyDescent="0.3">
      <c r="A156" s="3">
        <v>2019</v>
      </c>
      <c r="B156" s="65">
        <v>116.22261891413046</v>
      </c>
    </row>
    <row r="157" spans="1:4" x14ac:dyDescent="0.3">
      <c r="A157" s="3">
        <v>2020</v>
      </c>
      <c r="B157" s="65">
        <v>118.45431409048996</v>
      </c>
    </row>
    <row r="158" spans="1:4" x14ac:dyDescent="0.3">
      <c r="A158" s="3">
        <v>2021</v>
      </c>
      <c r="B158" s="65">
        <v>120.75361953201815</v>
      </c>
    </row>
    <row r="159" spans="1:4" x14ac:dyDescent="0.3">
      <c r="A159" s="3">
        <v>2022</v>
      </c>
      <c r="B159" s="65">
        <v>123.07419012650161</v>
      </c>
    </row>
    <row r="160" spans="1:4" x14ac:dyDescent="0.3">
      <c r="A160" s="3">
        <v>2023</v>
      </c>
      <c r="B160" s="65">
        <v>125.43803265766201</v>
      </c>
    </row>
    <row r="161" spans="1:2" x14ac:dyDescent="0.3">
      <c r="A161" s="3">
        <v>2024</v>
      </c>
      <c r="B161" s="65">
        <v>128.19766937613056</v>
      </c>
    </row>
    <row r="162" spans="1:2" x14ac:dyDescent="0.3">
      <c r="A162" s="3">
        <v>2025</v>
      </c>
      <c r="B162" s="65">
        <v>131.01801810240542</v>
      </c>
    </row>
    <row r="163" spans="1:2" x14ac:dyDescent="0.3">
      <c r="A163" s="3">
        <v>2026</v>
      </c>
      <c r="B163" s="65">
        <v>133.90041450065831</v>
      </c>
    </row>
    <row r="164" spans="1:2" x14ac:dyDescent="0.3">
      <c r="A164" s="3">
        <v>2027</v>
      </c>
      <c r="B164" s="65">
        <v>136.84622361967283</v>
      </c>
    </row>
    <row r="165" spans="1:2" x14ac:dyDescent="0.3">
      <c r="A165" s="3">
        <v>2028</v>
      </c>
      <c r="B165" s="65">
        <v>139.85684053930564</v>
      </c>
    </row>
    <row r="166" spans="1:2" x14ac:dyDescent="0.3">
      <c r="A166" s="3">
        <v>2029</v>
      </c>
      <c r="B166" s="65">
        <v>142.93369103117035</v>
      </c>
    </row>
    <row r="167" spans="1:2" x14ac:dyDescent="0.3">
      <c r="A167" s="3">
        <v>2030</v>
      </c>
      <c r="B167" s="65">
        <v>146.07823223385608</v>
      </c>
    </row>
    <row r="168" spans="1:2" x14ac:dyDescent="0.3">
      <c r="A168" s="3">
        <v>2031</v>
      </c>
      <c r="B168" s="65">
        <v>149.29195334300093</v>
      </c>
    </row>
    <row r="169" spans="1:2" x14ac:dyDescent="0.3">
      <c r="A169" s="3">
        <v>2032</v>
      </c>
      <c r="B169" s="65">
        <v>152.57637631654697</v>
      </c>
    </row>
    <row r="170" spans="1:2" x14ac:dyDescent="0.3">
      <c r="A170" s="3">
        <v>2033</v>
      </c>
      <c r="B170" s="65">
        <v>155.933056595511</v>
      </c>
    </row>
    <row r="171" spans="1:2" x14ac:dyDescent="0.3">
      <c r="A171" s="3">
        <v>2034</v>
      </c>
      <c r="B171" s="65">
        <v>159.36358384061225</v>
      </c>
    </row>
    <row r="172" spans="1:2" x14ac:dyDescent="0.3">
      <c r="A172" s="3">
        <v>2035</v>
      </c>
      <c r="B172" s="65">
        <v>162.86958268510568</v>
      </c>
    </row>
    <row r="173" spans="1:2" x14ac:dyDescent="0.3">
      <c r="A173" s="3">
        <v>2036</v>
      </c>
      <c r="B173" s="65">
        <v>166.45271350417804</v>
      </c>
    </row>
    <row r="174" spans="1:2" x14ac:dyDescent="0.3">
      <c r="A174" s="3">
        <v>2037</v>
      </c>
      <c r="B174" s="65">
        <v>170.11467320126997</v>
      </c>
    </row>
    <row r="175" spans="1:2" x14ac:dyDescent="0.3">
      <c r="A175" s="3">
        <v>2038</v>
      </c>
      <c r="B175" s="65">
        <v>173.85719601169791</v>
      </c>
    </row>
    <row r="178" spans="1:7" x14ac:dyDescent="0.3">
      <c r="A178" s="1" t="s">
        <v>220</v>
      </c>
      <c r="B178" s="1" t="s">
        <v>221</v>
      </c>
    </row>
    <row r="179" spans="1:7" ht="15" thickBot="1" x14ac:dyDescent="0.35"/>
    <row r="180" spans="1:7" ht="15" thickTop="1" x14ac:dyDescent="0.3">
      <c r="A180" s="78" t="s">
        <v>222</v>
      </c>
      <c r="B180" s="79" t="s">
        <v>223</v>
      </c>
      <c r="C180" s="79"/>
      <c r="D180" s="79"/>
      <c r="E180" s="80"/>
    </row>
    <row r="181" spans="1:7" ht="15" thickBot="1" x14ac:dyDescent="0.35">
      <c r="A181" s="81"/>
      <c r="B181" s="82" t="str">
        <f>"(litres per km, " &amp; C169 &amp; ")"</f>
        <v>(litres per km, )</v>
      </c>
      <c r="C181" s="82"/>
      <c r="D181" s="82"/>
      <c r="E181" s="83"/>
    </row>
    <row r="182" spans="1:7" ht="15.6" thickTop="1" thickBot="1" x14ac:dyDescent="0.35">
      <c r="A182" s="84"/>
      <c r="B182" s="85" t="s">
        <v>224</v>
      </c>
      <c r="C182" s="85"/>
      <c r="D182" s="85"/>
      <c r="E182" s="86"/>
    </row>
    <row r="183" spans="1:7" ht="15.6" thickTop="1" thickBot="1" x14ac:dyDescent="0.35">
      <c r="A183" s="87" t="s">
        <v>225</v>
      </c>
      <c r="B183" s="88" t="s">
        <v>226</v>
      </c>
      <c r="C183" s="88" t="s">
        <v>227</v>
      </c>
      <c r="D183" s="88" t="s">
        <v>228</v>
      </c>
      <c r="E183" s="88" t="s">
        <v>229</v>
      </c>
    </row>
    <row r="184" spans="1:7" ht="15" thickTop="1" x14ac:dyDescent="0.3">
      <c r="A184" s="89" t="s">
        <v>230</v>
      </c>
      <c r="B184" s="90">
        <v>1.180114976286128</v>
      </c>
      <c r="C184" s="90">
        <v>4.6394755347269515E-2</v>
      </c>
      <c r="D184" s="90">
        <v>-8.5803541308631211E-5</v>
      </c>
      <c r="E184" s="91">
        <v>2.582097775733862E-6</v>
      </c>
    </row>
    <row r="185" spans="1:7" x14ac:dyDescent="0.3">
      <c r="A185" s="92" t="s">
        <v>231</v>
      </c>
      <c r="B185" s="93">
        <v>0.51887494595916128</v>
      </c>
      <c r="C185" s="93">
        <v>6.5559191279250639E-2</v>
      </c>
      <c r="D185" s="93">
        <v>-6.2308156326426232E-4</v>
      </c>
      <c r="E185" s="94">
        <v>4.8992721130348154E-6</v>
      </c>
    </row>
    <row r="186" spans="1:7" x14ac:dyDescent="0.3">
      <c r="A186" s="92" t="s">
        <v>232</v>
      </c>
      <c r="B186" s="93">
        <f>AVERAGE(B184:B185)</f>
        <v>0.84949496112264467</v>
      </c>
      <c r="C186" s="93">
        <f>AVERAGE(C184:C185)</f>
        <v>5.5976973313260077E-2</v>
      </c>
      <c r="D186" s="93">
        <f>AVERAGE(D184:D185)</f>
        <v>-3.5444255228644678E-4</v>
      </c>
      <c r="E186" s="93">
        <f>AVERAGE(E184:E185)</f>
        <v>3.7406849443843387E-6</v>
      </c>
      <c r="G186" s="3" t="s">
        <v>233</v>
      </c>
    </row>
    <row r="187" spans="1:7" x14ac:dyDescent="0.3">
      <c r="A187" s="92" t="s">
        <v>234</v>
      </c>
      <c r="B187" s="93">
        <v>2.0567863033665263</v>
      </c>
      <c r="C187" s="93">
        <v>3.6403260467395997E-2</v>
      </c>
      <c r="D187" s="93">
        <v>7.1679253957251945E-5</v>
      </c>
      <c r="E187" s="94">
        <v>3.9166630317538334E-6</v>
      </c>
      <c r="G187" s="3" t="s">
        <v>235</v>
      </c>
    </row>
    <row r="188" spans="1:7" x14ac:dyDescent="0.3">
      <c r="A188" s="92" t="s">
        <v>236</v>
      </c>
      <c r="B188" s="93">
        <v>1.4727509642628025</v>
      </c>
      <c r="C188" s="93">
        <v>3.5295623272879925E-2</v>
      </c>
      <c r="D188" s="93">
        <v>-2.4246843636030222E-4</v>
      </c>
      <c r="E188" s="94">
        <v>8.0899458558350612E-6</v>
      </c>
      <c r="G188" s="3" t="s">
        <v>237</v>
      </c>
    </row>
    <row r="189" spans="1:7" x14ac:dyDescent="0.3">
      <c r="A189" s="92" t="s">
        <v>238</v>
      </c>
      <c r="B189" s="93">
        <v>1.9113656808586978</v>
      </c>
      <c r="C189" s="93">
        <v>0.34453272782664107</v>
      </c>
      <c r="D189" s="93">
        <v>-5.2165511085860393E-3</v>
      </c>
      <c r="E189" s="94">
        <v>4.48970555813548E-5</v>
      </c>
    </row>
    <row r="190" spans="1:7" x14ac:dyDescent="0.3">
      <c r="A190" s="92" t="s">
        <v>239</v>
      </c>
      <c r="B190" s="93">
        <v>3.0504318139360054</v>
      </c>
      <c r="C190" s="93">
        <v>0.63625724830034991</v>
      </c>
      <c r="D190" s="93">
        <v>-9.1060147599352284E-3</v>
      </c>
      <c r="E190" s="94">
        <v>6.8638646161859237E-5</v>
      </c>
    </row>
    <row r="191" spans="1:7" ht="15" thickBot="1" x14ac:dyDescent="0.35">
      <c r="A191" s="95" t="s">
        <v>240</v>
      </c>
      <c r="B191" s="96">
        <v>6.3048434048502084</v>
      </c>
      <c r="C191" s="96">
        <v>0.25859987106781779</v>
      </c>
      <c r="D191" s="96">
        <v>-3.2314515820759102E-3</v>
      </c>
      <c r="E191" s="97">
        <v>3.2277528763177472E-5</v>
      </c>
    </row>
    <row r="192" spans="1:7" ht="15" thickTop="1" x14ac:dyDescent="0.3"/>
    <row r="193" spans="1:8" x14ac:dyDescent="0.3">
      <c r="A193" s="1" t="s">
        <v>241</v>
      </c>
    </row>
    <row r="194" spans="1:8" x14ac:dyDescent="0.3">
      <c r="C194" s="3" t="s">
        <v>242</v>
      </c>
      <c r="D194" s="3" t="s">
        <v>243</v>
      </c>
      <c r="E194" s="3" t="s">
        <v>244</v>
      </c>
      <c r="F194" s="3" t="s">
        <v>245</v>
      </c>
      <c r="G194" s="3" t="s">
        <v>246</v>
      </c>
      <c r="H194" s="3" t="s">
        <v>246</v>
      </c>
    </row>
    <row r="195" spans="1:8" x14ac:dyDescent="0.3">
      <c r="F195" s="3" t="s">
        <v>247</v>
      </c>
      <c r="G195" s="3" t="s">
        <v>248</v>
      </c>
      <c r="H195" s="3" t="s">
        <v>249</v>
      </c>
    </row>
    <row r="196" spans="1:8" x14ac:dyDescent="0.3">
      <c r="A196" s="3" t="s">
        <v>250</v>
      </c>
      <c r="C196" s="3" t="s">
        <v>251</v>
      </c>
      <c r="D196" s="3" t="s">
        <v>251</v>
      </c>
      <c r="E196" s="3" t="s">
        <v>251</v>
      </c>
      <c r="F196" s="3" t="s">
        <v>251</v>
      </c>
      <c r="G196" s="3" t="s">
        <v>252</v>
      </c>
      <c r="H196" s="3" t="s">
        <v>252</v>
      </c>
    </row>
    <row r="197" spans="1:8" x14ac:dyDescent="0.3">
      <c r="A197" s="3">
        <v>2010</v>
      </c>
      <c r="C197" s="3">
        <v>2.2299199768831395</v>
      </c>
      <c r="D197" s="3">
        <v>2.5617129175583555</v>
      </c>
      <c r="E197" s="3">
        <f>AVERAGE(C197:D197)</f>
        <v>2.3958164472207475</v>
      </c>
      <c r="F197" s="3">
        <v>2.9257703749999999</v>
      </c>
      <c r="G197" s="3">
        <v>0.38937841888483038</v>
      </c>
      <c r="H197" s="3">
        <v>0.36250442113580411</v>
      </c>
    </row>
    <row r="198" spans="1:8" x14ac:dyDescent="0.3">
      <c r="A198" s="3">
        <v>2011</v>
      </c>
      <c r="C198" s="3">
        <v>2.2111007756537502</v>
      </c>
      <c r="D198" s="3">
        <v>2.5665344417062501</v>
      </c>
      <c r="E198" s="3">
        <f t="shared" ref="E198:E225" si="3">AVERAGE(C198:D198)</f>
        <v>2.3888176086800001</v>
      </c>
      <c r="F198" s="3">
        <v>2.9257703749999999</v>
      </c>
      <c r="G198" s="3">
        <v>0.38377758893819225</v>
      </c>
      <c r="H198" s="3">
        <v>0.35568372953447902</v>
      </c>
    </row>
    <row r="199" spans="1:8" x14ac:dyDescent="0.3">
      <c r="A199" s="3">
        <v>2012</v>
      </c>
      <c r="C199" s="3">
        <v>2.210582655733675</v>
      </c>
      <c r="D199" s="3">
        <v>2.6087021457169537</v>
      </c>
      <c r="E199" s="3">
        <f t="shared" si="3"/>
        <v>2.4096424007253141</v>
      </c>
      <c r="F199" s="3">
        <v>2.9257703749999999</v>
      </c>
      <c r="G199" s="3">
        <v>0.37657132794163034</v>
      </c>
      <c r="H199" s="3">
        <v>0.34847589599259055</v>
      </c>
    </row>
    <row r="200" spans="1:8" x14ac:dyDescent="0.3">
      <c r="A200" s="3">
        <v>2013</v>
      </c>
      <c r="C200" s="3">
        <v>2.2009017860009048</v>
      </c>
      <c r="D200" s="3">
        <v>2.5973386501148656</v>
      </c>
      <c r="E200" s="3">
        <f t="shared" si="3"/>
        <v>2.3991202180578854</v>
      </c>
      <c r="F200" s="3">
        <v>2.8518362828182298</v>
      </c>
      <c r="G200" s="3">
        <v>0.36739163602512309</v>
      </c>
      <c r="H200" s="3">
        <v>0.34085894636280811</v>
      </c>
    </row>
    <row r="201" spans="1:8" x14ac:dyDescent="0.3">
      <c r="A201" s="3">
        <v>2014</v>
      </c>
      <c r="C201" s="3">
        <v>2.1890887342243337</v>
      </c>
      <c r="D201" s="3">
        <v>2.6013091383329261</v>
      </c>
      <c r="E201" s="3">
        <f t="shared" si="3"/>
        <v>2.3951989362786299</v>
      </c>
      <c r="F201" s="3">
        <v>2.8559245042628429</v>
      </c>
      <c r="G201" s="3">
        <v>0.36044300365091569</v>
      </c>
      <c r="H201" s="3">
        <v>0.33280965924685701</v>
      </c>
    </row>
    <row r="202" spans="1:8" x14ac:dyDescent="0.3">
      <c r="A202" s="3">
        <v>2015</v>
      </c>
      <c r="C202" s="3">
        <v>2.1890887342243337</v>
      </c>
      <c r="D202" s="3">
        <v>2.6014175797454899</v>
      </c>
      <c r="E202" s="3">
        <f t="shared" si="3"/>
        <v>2.3952531569849116</v>
      </c>
      <c r="F202" s="3">
        <v>2.8560361611886367</v>
      </c>
      <c r="G202" s="3">
        <v>0.3502378394849775</v>
      </c>
      <c r="H202" s="3">
        <v>0.32430349520164908</v>
      </c>
    </row>
    <row r="203" spans="1:8" x14ac:dyDescent="0.3">
      <c r="A203" s="3">
        <v>2016</v>
      </c>
      <c r="C203" s="3">
        <v>2.1890887342243337</v>
      </c>
      <c r="D203" s="3">
        <v>2.6015089173819628</v>
      </c>
      <c r="E203" s="3">
        <f t="shared" si="3"/>
        <v>2.395298825803148</v>
      </c>
      <c r="F203" s="3">
        <v>2.856130207175835</v>
      </c>
      <c r="G203" s="3">
        <v>0.33978897261214219</v>
      </c>
      <c r="H203" s="3">
        <v>0.31531452192715809</v>
      </c>
    </row>
    <row r="204" spans="1:8" x14ac:dyDescent="0.3">
      <c r="A204" s="3">
        <v>2017</v>
      </c>
      <c r="C204" s="3">
        <v>2.1595005987432501</v>
      </c>
      <c r="D204" s="3">
        <v>2.5561288764705132</v>
      </c>
      <c r="E204" s="3">
        <f t="shared" si="3"/>
        <v>2.3578147376068816</v>
      </c>
      <c r="F204" s="3">
        <v>2.809404553749201</v>
      </c>
      <c r="G204" s="3">
        <v>0.32955246692810952</v>
      </c>
      <c r="H204" s="3">
        <v>0.30581533520796539</v>
      </c>
    </row>
    <row r="205" spans="1:8" x14ac:dyDescent="0.3">
      <c r="A205" s="3">
        <v>2018</v>
      </c>
      <c r="C205" s="3">
        <v>2.1299124632621669</v>
      </c>
      <c r="D205" s="3">
        <v>2.5107488355590641</v>
      </c>
      <c r="E205" s="3">
        <f t="shared" si="3"/>
        <v>2.3203306494106153</v>
      </c>
      <c r="F205" s="3">
        <v>2.7626789003225665</v>
      </c>
      <c r="G205" s="3">
        <v>0.31873493795395558</v>
      </c>
      <c r="H205" s="3">
        <v>0.29577697536745345</v>
      </c>
    </row>
    <row r="206" spans="1:8" x14ac:dyDescent="0.3">
      <c r="A206" s="3">
        <v>2019</v>
      </c>
      <c r="C206" s="3">
        <v>2.1003243277810837</v>
      </c>
      <c r="D206" s="3">
        <v>2.4653687946476155</v>
      </c>
      <c r="E206" s="3">
        <f t="shared" si="3"/>
        <v>2.2828465612143498</v>
      </c>
      <c r="F206" s="3">
        <v>2.7159532468959324</v>
      </c>
      <c r="G206" s="3">
        <v>0.30730340685158014</v>
      </c>
      <c r="H206" s="3">
        <v>0.28516883897994511</v>
      </c>
    </row>
    <row r="207" spans="1:8" x14ac:dyDescent="0.3">
      <c r="A207" s="3">
        <v>2020</v>
      </c>
      <c r="C207" s="3">
        <v>2.0707361923000001</v>
      </c>
      <c r="D207" s="3">
        <v>2.4199887537361664</v>
      </c>
      <c r="E207" s="3">
        <f t="shared" si="3"/>
        <v>2.2453624730180834</v>
      </c>
      <c r="F207" s="3">
        <v>2.6692275934692988</v>
      </c>
      <c r="G207" s="3">
        <v>0.29522302290652147</v>
      </c>
      <c r="H207" s="3">
        <v>0.27395858557163133</v>
      </c>
    </row>
    <row r="208" spans="1:8" x14ac:dyDescent="0.3">
      <c r="A208" s="3">
        <v>2021</v>
      </c>
      <c r="C208" s="3">
        <v>2.0707361923000001</v>
      </c>
      <c r="D208" s="3">
        <v>2.4199887537361664</v>
      </c>
      <c r="E208" s="3">
        <f t="shared" si="3"/>
        <v>2.2453624730180834</v>
      </c>
      <c r="F208" s="3">
        <v>2.6692275934692988</v>
      </c>
      <c r="G208" s="3">
        <v>0.28245695728039499</v>
      </c>
      <c r="H208" s="3">
        <v>0.26211203902585051</v>
      </c>
    </row>
    <row r="209" spans="1:8" x14ac:dyDescent="0.3">
      <c r="A209" s="3">
        <v>2022</v>
      </c>
      <c r="C209" s="3">
        <v>2.0707361923000001</v>
      </c>
      <c r="D209" s="3">
        <v>2.4199887537361664</v>
      </c>
      <c r="E209" s="3">
        <f t="shared" si="3"/>
        <v>2.2453624730180834</v>
      </c>
      <c r="F209" s="3">
        <v>2.6692275934692988</v>
      </c>
      <c r="G209" s="3">
        <v>0.26896629073272871</v>
      </c>
      <c r="H209" s="3">
        <v>0.24959308339213818</v>
      </c>
    </row>
    <row r="210" spans="1:8" x14ac:dyDescent="0.3">
      <c r="A210" s="3">
        <v>2023</v>
      </c>
      <c r="C210" s="3">
        <v>2.0707361923000001</v>
      </c>
      <c r="D210" s="3">
        <v>2.4199887537361664</v>
      </c>
      <c r="E210" s="3">
        <f t="shared" si="3"/>
        <v>2.2453624730180834</v>
      </c>
      <c r="F210" s="3">
        <v>2.6692275934692988</v>
      </c>
      <c r="G210" s="3">
        <v>0.25470989496989843</v>
      </c>
      <c r="H210" s="3">
        <v>0.23636355278140711</v>
      </c>
    </row>
    <row r="211" spans="1:8" x14ac:dyDescent="0.3">
      <c r="A211" s="3">
        <v>2024</v>
      </c>
      <c r="C211" s="3">
        <v>2.0707361923000001</v>
      </c>
      <c r="D211" s="3">
        <v>2.4199887537361664</v>
      </c>
      <c r="E211" s="3">
        <f t="shared" si="3"/>
        <v>2.2453624730180834</v>
      </c>
      <c r="F211" s="3">
        <v>2.6692275934692988</v>
      </c>
      <c r="G211" s="3">
        <v>0.23964430725943767</v>
      </c>
      <c r="H211" s="3">
        <v>0.22238311501158572</v>
      </c>
    </row>
    <row r="212" spans="1:8" x14ac:dyDescent="0.3">
      <c r="A212" s="3">
        <v>2025</v>
      </c>
      <c r="C212" s="3">
        <v>2.0707361923000001</v>
      </c>
      <c r="D212" s="3">
        <v>2.4199887537361664</v>
      </c>
      <c r="E212" s="3">
        <f t="shared" si="3"/>
        <v>2.2453624730180834</v>
      </c>
      <c r="F212" s="3">
        <v>2.6692275934692988</v>
      </c>
      <c r="G212" s="3">
        <v>0.2237235979274651</v>
      </c>
      <c r="H212" s="3">
        <v>0.20760914864899169</v>
      </c>
    </row>
    <row r="213" spans="1:8" x14ac:dyDescent="0.3">
      <c r="A213" s="3">
        <v>2026</v>
      </c>
      <c r="C213" s="3">
        <v>2.0707361923000001</v>
      </c>
      <c r="D213" s="3">
        <v>2.4199887537361664</v>
      </c>
      <c r="E213" s="3">
        <f t="shared" si="3"/>
        <v>2.2453624730180834</v>
      </c>
      <c r="F213" s="3">
        <v>2.6692275934692988</v>
      </c>
      <c r="G213" s="3">
        <v>0.20689923033527607</v>
      </c>
      <c r="H213" s="3">
        <v>0.19199661307058344</v>
      </c>
    </row>
    <row r="214" spans="1:8" x14ac:dyDescent="0.3">
      <c r="A214" s="3">
        <v>2027</v>
      </c>
      <c r="C214" s="3">
        <v>2.0707361923000001</v>
      </c>
      <c r="D214" s="3">
        <v>2.4199887537361664</v>
      </c>
      <c r="E214" s="3">
        <f t="shared" si="3"/>
        <v>2.2453624730180834</v>
      </c>
      <c r="F214" s="3">
        <v>2.6692275934692988</v>
      </c>
      <c r="G214" s="3">
        <v>0.18911991290821573</v>
      </c>
      <c r="H214" s="3">
        <v>0.17549791115095442</v>
      </c>
    </row>
    <row r="215" spans="1:8" x14ac:dyDescent="0.3">
      <c r="A215" s="3">
        <v>2028</v>
      </c>
      <c r="C215" s="3">
        <v>2.0707361923000001</v>
      </c>
      <c r="D215" s="3">
        <v>2.4199887537361664</v>
      </c>
      <c r="E215" s="3">
        <f t="shared" si="3"/>
        <v>2.2453624730180834</v>
      </c>
      <c r="F215" s="3">
        <v>2.6692275934692988</v>
      </c>
      <c r="G215" s="3">
        <v>0.17033144276572279</v>
      </c>
      <c r="H215" s="3">
        <v>0.15806274415545216</v>
      </c>
    </row>
    <row r="216" spans="1:8" x14ac:dyDescent="0.3">
      <c r="A216" s="3">
        <v>2029</v>
      </c>
      <c r="C216" s="3">
        <v>2.0707361923000001</v>
      </c>
      <c r="D216" s="3">
        <v>2.4199887537361664</v>
      </c>
      <c r="E216" s="3">
        <f t="shared" si="3"/>
        <v>2.2453624730180834</v>
      </c>
      <c r="F216" s="3">
        <v>2.6692275934692988</v>
      </c>
      <c r="G216" s="3">
        <v>0.15047654047582543</v>
      </c>
      <c r="H216" s="3">
        <v>0.1396379583970408</v>
      </c>
    </row>
    <row r="217" spans="1:8" x14ac:dyDescent="0.3">
      <c r="A217" s="3">
        <v>2030</v>
      </c>
      <c r="C217" s="3">
        <v>2.0707361923000001</v>
      </c>
      <c r="D217" s="3">
        <v>2.4199887537361664</v>
      </c>
      <c r="E217" s="3">
        <f t="shared" si="3"/>
        <v>2.2453624730180834</v>
      </c>
      <c r="F217" s="3">
        <v>2.6692275934692988</v>
      </c>
      <c r="G217" s="3">
        <v>0.12949467543031612</v>
      </c>
      <c r="H217" s="3">
        <v>0.12016738318942002</v>
      </c>
    </row>
    <row r="218" spans="1:8" x14ac:dyDescent="0.3">
      <c r="A218" s="3">
        <v>2031</v>
      </c>
      <c r="C218" s="3">
        <v>2.0707361923000001</v>
      </c>
      <c r="D218" s="3">
        <v>2.4199887537361664</v>
      </c>
      <c r="E218" s="3">
        <f t="shared" si="3"/>
        <v>2.2453624730180834</v>
      </c>
      <c r="F218" s="3">
        <v>2.6692275934692988</v>
      </c>
      <c r="G218" s="3">
        <v>0.11854101435107842</v>
      </c>
      <c r="H218" s="3">
        <v>0.11000269661939878</v>
      </c>
    </row>
    <row r="219" spans="1:8" x14ac:dyDescent="0.3">
      <c r="A219" s="3">
        <v>2032</v>
      </c>
      <c r="C219" s="3">
        <v>2.0707361923000001</v>
      </c>
      <c r="D219" s="3">
        <v>2.4199887537361664</v>
      </c>
      <c r="E219" s="3">
        <f t="shared" si="3"/>
        <v>2.2453624730180834</v>
      </c>
      <c r="F219" s="3">
        <v>2.6692275934692988</v>
      </c>
      <c r="G219" s="3">
        <v>0.10851389863472993</v>
      </c>
      <c r="H219" s="3">
        <v>0.10069781784683871</v>
      </c>
    </row>
    <row r="220" spans="1:8" x14ac:dyDescent="0.3">
      <c r="A220" s="3">
        <v>2033</v>
      </c>
      <c r="C220" s="3">
        <v>2.0707361923000001</v>
      </c>
      <c r="D220" s="3">
        <v>2.4199887537361664</v>
      </c>
      <c r="E220" s="3">
        <f t="shared" si="3"/>
        <v>2.2453624730180834</v>
      </c>
      <c r="F220" s="3">
        <v>2.6692275934692988</v>
      </c>
      <c r="G220" s="3">
        <v>9.9334953909151522E-2</v>
      </c>
      <c r="H220" s="3">
        <v>9.2180017679011433E-2</v>
      </c>
    </row>
    <row r="221" spans="1:8" x14ac:dyDescent="0.3">
      <c r="A221" s="3">
        <v>2034</v>
      </c>
      <c r="C221" s="3">
        <v>2.0707361923000001</v>
      </c>
      <c r="D221" s="3">
        <v>2.4199887537361664</v>
      </c>
      <c r="E221" s="3">
        <f t="shared" si="3"/>
        <v>2.2453624730180834</v>
      </c>
      <c r="F221" s="3">
        <v>2.6692275934692988</v>
      </c>
      <c r="G221" s="3">
        <v>9.0932435312716525E-2</v>
      </c>
      <c r="H221" s="3">
        <v>8.4382718920751831E-2</v>
      </c>
    </row>
    <row r="222" spans="1:8" x14ac:dyDescent="0.3">
      <c r="A222" s="3">
        <v>2035</v>
      </c>
      <c r="C222" s="3">
        <v>2.0707361923000001</v>
      </c>
      <c r="D222" s="3">
        <v>2.4199887537361664</v>
      </c>
      <c r="E222" s="3">
        <f t="shared" si="3"/>
        <v>2.2453624730180834</v>
      </c>
      <c r="F222" s="3">
        <v>2.6692275934692988</v>
      </c>
      <c r="G222" s="3">
        <v>8.3240666719024831E-2</v>
      </c>
      <c r="H222" s="3">
        <v>7.7244975990928583E-2</v>
      </c>
    </row>
    <row r="223" spans="1:8" x14ac:dyDescent="0.3">
      <c r="A223" s="3">
        <v>2036</v>
      </c>
      <c r="C223" s="3">
        <v>2.0707361923000001</v>
      </c>
      <c r="D223" s="3">
        <v>2.4199887537361664</v>
      </c>
      <c r="E223" s="3">
        <f t="shared" si="3"/>
        <v>2.2453624730180834</v>
      </c>
      <c r="F223" s="3">
        <v>2.6692275934692988</v>
      </c>
      <c r="G223" s="3">
        <v>7.6199527396345612E-2</v>
      </c>
      <c r="H223" s="3">
        <v>7.0710998556977642E-2</v>
      </c>
    </row>
    <row r="224" spans="1:8" x14ac:dyDescent="0.3">
      <c r="A224" s="3">
        <v>2037</v>
      </c>
      <c r="C224" s="3">
        <v>2.0707361923000001</v>
      </c>
      <c r="D224" s="3">
        <v>2.4199887537361664</v>
      </c>
      <c r="E224" s="3">
        <f t="shared" si="3"/>
        <v>2.2453624730180834</v>
      </c>
      <c r="F224" s="3">
        <v>2.6692275934692988</v>
      </c>
      <c r="G224" s="3">
        <v>6.9753982089374209E-2</v>
      </c>
      <c r="H224" s="3">
        <v>6.4729715464111021E-2</v>
      </c>
    </row>
    <row r="225" spans="1:8" x14ac:dyDescent="0.3">
      <c r="A225" s="3">
        <v>2038</v>
      </c>
      <c r="C225" s="3">
        <v>2.0707361923000001</v>
      </c>
      <c r="D225" s="3">
        <v>2.4199887537361664</v>
      </c>
      <c r="E225" s="3">
        <f t="shared" si="3"/>
        <v>2.2453624730180834</v>
      </c>
      <c r="F225" s="3">
        <v>2.6692275934692988</v>
      </c>
      <c r="G225" s="3">
        <v>6.3853650850308086E-2</v>
      </c>
      <c r="H225" s="3">
        <v>5.9254375550765258E-2</v>
      </c>
    </row>
    <row r="228" spans="1:8" x14ac:dyDescent="0.3">
      <c r="A228" s="1" t="s">
        <v>253</v>
      </c>
    </row>
    <row r="229" spans="1:8" x14ac:dyDescent="0.3">
      <c r="A229" s="3" t="s">
        <v>250</v>
      </c>
      <c r="C229" s="3" t="s">
        <v>254</v>
      </c>
      <c r="D229" s="3" t="s">
        <v>255</v>
      </c>
      <c r="E229" s="3" t="s">
        <v>256</v>
      </c>
    </row>
    <row r="230" spans="1:8" x14ac:dyDescent="0.3">
      <c r="A230" s="3">
        <v>2010</v>
      </c>
      <c r="C230" s="63">
        <v>26.151403058781668</v>
      </c>
      <c r="D230" s="63">
        <v>52.302806117563335</v>
      </c>
      <c r="E230" s="63">
        <v>78.454209176345032</v>
      </c>
    </row>
    <row r="231" spans="1:8" x14ac:dyDescent="0.3">
      <c r="A231" s="3">
        <v>2011</v>
      </c>
      <c r="C231" s="63">
        <v>26.543674104663392</v>
      </c>
      <c r="D231" s="63">
        <v>53.087348209326784</v>
      </c>
      <c r="E231" s="63">
        <v>79.631022313990172</v>
      </c>
    </row>
    <row r="232" spans="1:8" x14ac:dyDescent="0.3">
      <c r="A232" s="3">
        <v>2012</v>
      </c>
      <c r="C232" s="63">
        <v>26.941829216233341</v>
      </c>
      <c r="D232" s="63">
        <v>53.883658432466682</v>
      </c>
      <c r="E232" s="63">
        <v>80.825487648700033</v>
      </c>
    </row>
    <row r="233" spans="1:8" x14ac:dyDescent="0.3">
      <c r="A233" s="3">
        <v>2013</v>
      </c>
      <c r="C233" s="63">
        <v>27.345956654476836</v>
      </c>
      <c r="D233" s="63">
        <v>54.691913308953673</v>
      </c>
      <c r="E233" s="63">
        <v>82.037869963430509</v>
      </c>
    </row>
    <row r="234" spans="1:8" x14ac:dyDescent="0.3">
      <c r="A234" s="3">
        <v>2014</v>
      </c>
      <c r="C234" s="63">
        <v>27.756146004293988</v>
      </c>
      <c r="D234" s="63">
        <v>55.512292008587977</v>
      </c>
      <c r="E234" s="63">
        <v>83.268438012881973</v>
      </c>
    </row>
    <row r="235" spans="1:8" x14ac:dyDescent="0.3">
      <c r="A235" s="3">
        <v>2015</v>
      </c>
      <c r="C235" s="63">
        <v>28.17248819435839</v>
      </c>
      <c r="D235" s="63">
        <v>56.34497638871678</v>
      </c>
      <c r="E235" s="63">
        <v>84.517464583075196</v>
      </c>
    </row>
    <row r="236" spans="1:8" x14ac:dyDescent="0.3">
      <c r="A236" s="3">
        <v>2016</v>
      </c>
      <c r="C236" s="63">
        <v>28.595075517273763</v>
      </c>
      <c r="D236" s="63">
        <v>57.190151034547526</v>
      </c>
      <c r="E236" s="63">
        <v>85.785226551821296</v>
      </c>
    </row>
    <row r="237" spans="1:8" x14ac:dyDescent="0.3">
      <c r="A237" s="3">
        <v>2017</v>
      </c>
      <c r="C237" s="63">
        <v>29.024001650032872</v>
      </c>
      <c r="D237" s="63">
        <v>58.048003300065744</v>
      </c>
      <c r="E237" s="63">
        <v>87.072004950098631</v>
      </c>
    </row>
    <row r="238" spans="1:8" x14ac:dyDescent="0.3">
      <c r="A238" s="3">
        <v>2018</v>
      </c>
      <c r="C238" s="63">
        <v>29.459361674783359</v>
      </c>
      <c r="D238" s="63">
        <v>58.918723349566719</v>
      </c>
      <c r="E238" s="63">
        <v>88.378085024350099</v>
      </c>
    </row>
    <row r="239" spans="1:8" x14ac:dyDescent="0.3">
      <c r="A239" s="3">
        <v>2019</v>
      </c>
      <c r="C239" s="63">
        <v>29.901252099905115</v>
      </c>
      <c r="D239" s="63">
        <v>59.80250419981023</v>
      </c>
      <c r="E239" s="63">
        <v>89.703756299715351</v>
      </c>
    </row>
    <row r="240" spans="1:8" x14ac:dyDescent="0.3">
      <c r="A240" s="3">
        <v>2020</v>
      </c>
      <c r="C240" s="63">
        <v>30.349770881403689</v>
      </c>
      <c r="D240" s="63">
        <v>60.699541762807378</v>
      </c>
      <c r="E240" s="63">
        <v>91.049312644211057</v>
      </c>
    </row>
    <row r="241" spans="1:5" x14ac:dyDescent="0.3">
      <c r="A241" s="3">
        <v>2021</v>
      </c>
      <c r="C241" s="63">
        <v>30.855600396093745</v>
      </c>
      <c r="D241" s="63">
        <v>61.711200792187491</v>
      </c>
      <c r="E241" s="63">
        <v>92.566801188281246</v>
      </c>
    </row>
    <row r="242" spans="1:5" x14ac:dyDescent="0.3">
      <c r="A242" s="3">
        <v>2022</v>
      </c>
      <c r="C242" s="63">
        <v>31.361429910783812</v>
      </c>
      <c r="D242" s="63">
        <v>62.722859821567624</v>
      </c>
      <c r="E242" s="63">
        <v>94.084289732351422</v>
      </c>
    </row>
    <row r="243" spans="1:5" x14ac:dyDescent="0.3">
      <c r="A243" s="3">
        <v>2023</v>
      </c>
      <c r="C243" s="63">
        <v>31.867259425473875</v>
      </c>
      <c r="D243" s="63">
        <v>63.734518850947751</v>
      </c>
      <c r="E243" s="63">
        <v>95.601778276421612</v>
      </c>
    </row>
    <row r="244" spans="1:5" x14ac:dyDescent="0.3">
      <c r="A244" s="3">
        <v>2024</v>
      </c>
      <c r="C244" s="63">
        <v>32.373088940163932</v>
      </c>
      <c r="D244" s="63">
        <v>64.746177880327863</v>
      </c>
      <c r="E244" s="63">
        <v>97.119266820491802</v>
      </c>
    </row>
    <row r="245" spans="1:5" x14ac:dyDescent="0.3">
      <c r="A245" s="3">
        <v>2025</v>
      </c>
      <c r="C245" s="63">
        <v>32.878918454853995</v>
      </c>
      <c r="D245" s="63">
        <v>65.75783690970799</v>
      </c>
      <c r="E245" s="63">
        <v>98.636755364561992</v>
      </c>
    </row>
    <row r="246" spans="1:5" x14ac:dyDescent="0.3">
      <c r="A246" s="3">
        <v>2026</v>
      </c>
      <c r="C246" s="63">
        <v>33.384747969544051</v>
      </c>
      <c r="D246" s="63">
        <v>66.769495939088102</v>
      </c>
      <c r="E246" s="63">
        <v>100.15424390863215</v>
      </c>
    </row>
    <row r="247" spans="1:5" x14ac:dyDescent="0.3">
      <c r="A247" s="3">
        <v>2027</v>
      </c>
      <c r="C247" s="63">
        <v>33.890577484234115</v>
      </c>
      <c r="D247" s="63">
        <v>67.781154968468229</v>
      </c>
      <c r="E247" s="63">
        <v>101.67173245270236</v>
      </c>
    </row>
    <row r="248" spans="1:5" x14ac:dyDescent="0.3">
      <c r="A248" s="3">
        <v>2028</v>
      </c>
      <c r="C248" s="63">
        <v>34.396406998924178</v>
      </c>
      <c r="D248" s="63">
        <v>68.792813997848356</v>
      </c>
      <c r="E248" s="63">
        <v>103.18922099677253</v>
      </c>
    </row>
    <row r="249" spans="1:5" x14ac:dyDescent="0.3">
      <c r="A249" s="3">
        <v>2029</v>
      </c>
      <c r="C249" s="63">
        <v>34.902236513614241</v>
      </c>
      <c r="D249" s="63">
        <v>69.804473027228482</v>
      </c>
      <c r="E249" s="63">
        <v>104.70670954084271</v>
      </c>
    </row>
    <row r="250" spans="1:5" x14ac:dyDescent="0.3">
      <c r="A250" s="3">
        <v>2030</v>
      </c>
      <c r="C250" s="63">
        <v>35.408066028304304</v>
      </c>
      <c r="D250" s="63">
        <v>70.816132056608609</v>
      </c>
      <c r="E250" s="63">
        <v>106.2241980849129</v>
      </c>
    </row>
    <row r="251" spans="1:5" x14ac:dyDescent="0.3">
      <c r="A251" s="3">
        <v>2031</v>
      </c>
      <c r="C251" s="63">
        <v>38.695957873789695</v>
      </c>
      <c r="D251" s="63">
        <v>77.39191574757939</v>
      </c>
      <c r="E251" s="63">
        <v>116.08787362136911</v>
      </c>
    </row>
    <row r="252" spans="1:5" x14ac:dyDescent="0.3">
      <c r="A252" s="3">
        <v>2032</v>
      </c>
      <c r="C252" s="63">
        <v>41.983849719275106</v>
      </c>
      <c r="D252" s="63">
        <v>83.967699438550213</v>
      </c>
      <c r="E252" s="63">
        <v>125.9515491578253</v>
      </c>
    </row>
    <row r="253" spans="1:5" x14ac:dyDescent="0.3">
      <c r="A253" s="3">
        <v>2033</v>
      </c>
      <c r="C253" s="63">
        <v>45.271741564760504</v>
      </c>
      <c r="D253" s="63">
        <v>90.543483129521007</v>
      </c>
      <c r="E253" s="63">
        <v>135.81522469428148</v>
      </c>
    </row>
    <row r="254" spans="1:5" x14ac:dyDescent="0.3">
      <c r="A254" s="3">
        <v>2034</v>
      </c>
      <c r="C254" s="63">
        <v>48.559633410245901</v>
      </c>
      <c r="D254" s="63">
        <v>97.119266820491802</v>
      </c>
      <c r="E254" s="63">
        <v>145.6789002307377</v>
      </c>
    </row>
    <row r="255" spans="1:5" x14ac:dyDescent="0.3">
      <c r="A255" s="3">
        <v>2035</v>
      </c>
      <c r="C255" s="63">
        <v>51.847525255731298</v>
      </c>
      <c r="D255" s="63">
        <v>103.6950505114626</v>
      </c>
      <c r="E255" s="63">
        <v>155.54257576719391</v>
      </c>
    </row>
    <row r="256" spans="1:5" x14ac:dyDescent="0.3">
      <c r="A256" s="3">
        <v>2036</v>
      </c>
      <c r="C256" s="63">
        <v>55.135417101216696</v>
      </c>
      <c r="D256" s="63">
        <v>110.27083420243339</v>
      </c>
      <c r="E256" s="63">
        <v>165.40625130365009</v>
      </c>
    </row>
    <row r="257" spans="1:9" x14ac:dyDescent="0.3">
      <c r="A257" s="3">
        <v>2037</v>
      </c>
      <c r="C257" s="63">
        <v>58.423308946702093</v>
      </c>
      <c r="D257" s="63">
        <v>116.84661789340419</v>
      </c>
      <c r="E257" s="63">
        <v>175.26992684010628</v>
      </c>
    </row>
    <row r="258" spans="1:9" x14ac:dyDescent="0.3">
      <c r="A258" s="3">
        <v>2038</v>
      </c>
      <c r="C258" s="63">
        <v>61.711200792187491</v>
      </c>
      <c r="D258" s="63">
        <v>123.42240158437498</v>
      </c>
      <c r="E258" s="63">
        <v>185.13360237656249</v>
      </c>
    </row>
    <row r="260" spans="1:9" x14ac:dyDescent="0.3">
      <c r="A260" s="1" t="s">
        <v>257</v>
      </c>
    </row>
    <row r="261" spans="1:9" x14ac:dyDescent="0.3">
      <c r="A261" s="3" t="s">
        <v>258</v>
      </c>
      <c r="B261" s="3">
        <v>2015</v>
      </c>
      <c r="C261" s="3">
        <v>2020</v>
      </c>
      <c r="D261" s="3">
        <v>2025</v>
      </c>
      <c r="E261" s="3">
        <v>2030</v>
      </c>
      <c r="F261" s="3">
        <v>2035</v>
      </c>
    </row>
    <row r="262" spans="1:9" x14ac:dyDescent="0.3">
      <c r="A262" s="98" t="s">
        <v>259</v>
      </c>
      <c r="B262" s="35">
        <v>33.034158846713332</v>
      </c>
      <c r="C262" s="35">
        <v>40.068561346929037</v>
      </c>
      <c r="D262" s="35">
        <v>47.914083823110417</v>
      </c>
      <c r="E262" s="35">
        <v>57.610819909203549</v>
      </c>
      <c r="F262" s="35">
        <v>72.381363585987771</v>
      </c>
    </row>
    <row r="263" spans="1:9" x14ac:dyDescent="0.3">
      <c r="A263" s="3" t="s">
        <v>260</v>
      </c>
      <c r="B263" s="35">
        <v>0.10788051799464955</v>
      </c>
      <c r="C263" s="35">
        <v>0.11755682252034028</v>
      </c>
      <c r="D263" s="35">
        <v>0.1299581115271819</v>
      </c>
      <c r="E263" s="35">
        <v>0.14489649188177203</v>
      </c>
      <c r="F263" s="35">
        <v>0.16155200404903652</v>
      </c>
    </row>
    <row r="264" spans="1:9" x14ac:dyDescent="0.3">
      <c r="A264" s="3" t="s">
        <v>261</v>
      </c>
      <c r="B264" s="35">
        <v>3.2364155398394865</v>
      </c>
      <c r="C264" s="35">
        <v>3.5267046756102083</v>
      </c>
      <c r="D264" s="35">
        <v>3.8987433458154568</v>
      </c>
      <c r="E264" s="35">
        <v>4.3468947564531604</v>
      </c>
      <c r="F264" s="35">
        <v>4.8465601214710956</v>
      </c>
    </row>
    <row r="265" spans="1:9" x14ac:dyDescent="0.3">
      <c r="A265" s="3" t="s">
        <v>262</v>
      </c>
      <c r="B265" s="35">
        <v>7.7909661078823217E-2</v>
      </c>
      <c r="C265" s="35">
        <v>3.5003366101366784E-2</v>
      </c>
      <c r="D265" s="35">
        <v>2.0418322649374217E-2</v>
      </c>
      <c r="E265" s="35">
        <v>1.8768465343712803E-2</v>
      </c>
      <c r="F265" s="35">
        <v>1.957790487957782E-2</v>
      </c>
    </row>
    <row r="266" spans="1:9" x14ac:dyDescent="0.3">
      <c r="A266" s="3" t="s">
        <v>263</v>
      </c>
      <c r="B266" s="35">
        <v>0.2157610359892991</v>
      </c>
      <c r="C266" s="35">
        <v>0.23511364504068055</v>
      </c>
      <c r="D266" s="35">
        <v>0.25991622305436379</v>
      </c>
      <c r="E266" s="35">
        <v>0.28979298376354407</v>
      </c>
      <c r="F266" s="35">
        <v>0.32310400809807305</v>
      </c>
    </row>
    <row r="267" spans="1:9" x14ac:dyDescent="0.3">
      <c r="A267" s="3" t="s">
        <v>264</v>
      </c>
      <c r="B267" s="35">
        <v>0.81536676358924343</v>
      </c>
      <c r="C267" s="35">
        <v>0.73284008959157054</v>
      </c>
      <c r="D267" s="35">
        <v>0.68814381481518305</v>
      </c>
      <c r="E267" s="35">
        <v>0.63465168855580645</v>
      </c>
      <c r="F267" s="35">
        <v>0.85177421637182305</v>
      </c>
      <c r="H267" s="3" t="s">
        <v>265</v>
      </c>
    </row>
    <row r="268" spans="1:9" x14ac:dyDescent="0.3">
      <c r="A268" s="3" t="s">
        <v>266</v>
      </c>
      <c r="B268" s="35">
        <v>-3.9419360750416472</v>
      </c>
      <c r="C268" s="35">
        <v>-3.4713493295390005</v>
      </c>
      <c r="D268" s="35">
        <v>-3.0885811750344705</v>
      </c>
      <c r="E268" s="35">
        <v>-2.6694174078142892</v>
      </c>
      <c r="F268" s="35">
        <v>-2.4667201895174635</v>
      </c>
    </row>
    <row r="269" spans="1:9" x14ac:dyDescent="0.3">
      <c r="A269" s="3" t="s">
        <v>96</v>
      </c>
      <c r="B269" s="35">
        <v>33.545556290163184</v>
      </c>
      <c r="C269" s="35">
        <v>41.244430616254206</v>
      </c>
      <c r="D269" s="35">
        <v>49.822682465937504</v>
      </c>
      <c r="E269" s="35">
        <v>60.376406887387269</v>
      </c>
      <c r="F269" s="35">
        <v>76.117211651339929</v>
      </c>
    </row>
    <row r="271" spans="1:9" x14ac:dyDescent="0.3">
      <c r="A271" s="98" t="s">
        <v>267</v>
      </c>
      <c r="B271" s="3" t="s">
        <v>268</v>
      </c>
      <c r="C271" s="3" t="s">
        <v>260</v>
      </c>
      <c r="D271" s="3" t="s">
        <v>261</v>
      </c>
      <c r="E271" s="3" t="s">
        <v>262</v>
      </c>
      <c r="F271" s="3" t="s">
        <v>263</v>
      </c>
      <c r="G271" s="3" t="s">
        <v>264</v>
      </c>
      <c r="H271" s="3" t="s">
        <v>266</v>
      </c>
      <c r="I271" s="3" t="s">
        <v>96</v>
      </c>
    </row>
    <row r="272" spans="1:9" x14ac:dyDescent="0.3">
      <c r="A272" s="3">
        <v>2019</v>
      </c>
      <c r="B272" s="35">
        <f>B262</f>
        <v>33.034158846713332</v>
      </c>
      <c r="C272" s="35">
        <f>B263</f>
        <v>0.10788051799464955</v>
      </c>
      <c r="D272" s="35">
        <f>B264</f>
        <v>3.2364155398394865</v>
      </c>
      <c r="E272" s="35">
        <f>B265</f>
        <v>7.7909661078823217E-2</v>
      </c>
      <c r="F272" s="35">
        <f>B266</f>
        <v>0.2157610359892991</v>
      </c>
      <c r="G272" s="35">
        <f>B267</f>
        <v>0.81536676358924343</v>
      </c>
      <c r="H272" s="35">
        <f>B268</f>
        <v>-3.9419360750416472</v>
      </c>
      <c r="I272" s="35">
        <f>B269</f>
        <v>33.545556290163184</v>
      </c>
    </row>
    <row r="273" spans="1:9" x14ac:dyDescent="0.3">
      <c r="A273" s="3">
        <v>2020</v>
      </c>
      <c r="B273" s="35">
        <f>C$262</f>
        <v>40.068561346929037</v>
      </c>
      <c r="C273" s="35">
        <f>C$263</f>
        <v>0.11755682252034028</v>
      </c>
      <c r="D273" s="35">
        <f>C$264</f>
        <v>3.5267046756102083</v>
      </c>
      <c r="E273" s="35">
        <f>C$265</f>
        <v>3.5003366101366784E-2</v>
      </c>
      <c r="F273" s="35">
        <f>C$266</f>
        <v>0.23511364504068055</v>
      </c>
      <c r="G273" s="35">
        <f>C$267</f>
        <v>0.73284008959157054</v>
      </c>
      <c r="H273" s="35">
        <f>C$268</f>
        <v>-3.4713493295390005</v>
      </c>
      <c r="I273" s="35">
        <f>C$269</f>
        <v>41.244430616254206</v>
      </c>
    </row>
    <row r="274" spans="1:9" x14ac:dyDescent="0.3">
      <c r="A274" s="3">
        <v>2021</v>
      </c>
      <c r="B274" s="35">
        <f t="shared" ref="B274:B277" si="4">C$262</f>
        <v>40.068561346929037</v>
      </c>
      <c r="C274" s="35">
        <f t="shared" ref="C274:C277" si="5">C$263</f>
        <v>0.11755682252034028</v>
      </c>
      <c r="D274" s="35">
        <f t="shared" ref="D274:D277" si="6">C$264</f>
        <v>3.5267046756102083</v>
      </c>
      <c r="E274" s="35">
        <f t="shared" ref="E274:E277" si="7">C$265</f>
        <v>3.5003366101366784E-2</v>
      </c>
      <c r="F274" s="35">
        <f t="shared" ref="F274:F277" si="8">C$266</f>
        <v>0.23511364504068055</v>
      </c>
      <c r="G274" s="35">
        <f t="shared" ref="G274:G277" si="9">C$267</f>
        <v>0.73284008959157054</v>
      </c>
      <c r="H274" s="35">
        <f t="shared" ref="H274:H277" si="10">C$268</f>
        <v>-3.4713493295390005</v>
      </c>
      <c r="I274" s="35">
        <f t="shared" ref="I274:I277" si="11">C$269</f>
        <v>41.244430616254206</v>
      </c>
    </row>
    <row r="275" spans="1:9" x14ac:dyDescent="0.3">
      <c r="A275" s="3">
        <v>2022</v>
      </c>
      <c r="B275" s="35">
        <f t="shared" si="4"/>
        <v>40.068561346929037</v>
      </c>
      <c r="C275" s="35">
        <f t="shared" si="5"/>
        <v>0.11755682252034028</v>
      </c>
      <c r="D275" s="35">
        <f t="shared" si="6"/>
        <v>3.5267046756102083</v>
      </c>
      <c r="E275" s="35">
        <f t="shared" si="7"/>
        <v>3.5003366101366784E-2</v>
      </c>
      <c r="F275" s="35">
        <f t="shared" si="8"/>
        <v>0.23511364504068055</v>
      </c>
      <c r="G275" s="35">
        <f t="shared" si="9"/>
        <v>0.73284008959157054</v>
      </c>
      <c r="H275" s="35">
        <f t="shared" si="10"/>
        <v>-3.4713493295390005</v>
      </c>
      <c r="I275" s="35">
        <f t="shared" si="11"/>
        <v>41.244430616254206</v>
      </c>
    </row>
    <row r="276" spans="1:9" x14ac:dyDescent="0.3">
      <c r="A276" s="3">
        <v>2023</v>
      </c>
      <c r="B276" s="35">
        <f t="shared" si="4"/>
        <v>40.068561346929037</v>
      </c>
      <c r="C276" s="35">
        <f t="shared" si="5"/>
        <v>0.11755682252034028</v>
      </c>
      <c r="D276" s="35">
        <f t="shared" si="6"/>
        <v>3.5267046756102083</v>
      </c>
      <c r="E276" s="35">
        <f t="shared" si="7"/>
        <v>3.5003366101366784E-2</v>
      </c>
      <c r="F276" s="35">
        <f t="shared" si="8"/>
        <v>0.23511364504068055</v>
      </c>
      <c r="G276" s="35">
        <f t="shared" si="9"/>
        <v>0.73284008959157054</v>
      </c>
      <c r="H276" s="35">
        <f t="shared" si="10"/>
        <v>-3.4713493295390005</v>
      </c>
      <c r="I276" s="35">
        <f t="shared" si="11"/>
        <v>41.244430616254206</v>
      </c>
    </row>
    <row r="277" spans="1:9" x14ac:dyDescent="0.3">
      <c r="A277" s="3">
        <v>2024</v>
      </c>
      <c r="B277" s="35">
        <f t="shared" si="4"/>
        <v>40.068561346929037</v>
      </c>
      <c r="C277" s="35">
        <f t="shared" si="5"/>
        <v>0.11755682252034028</v>
      </c>
      <c r="D277" s="35">
        <f t="shared" si="6"/>
        <v>3.5267046756102083</v>
      </c>
      <c r="E277" s="35">
        <f t="shared" si="7"/>
        <v>3.5003366101366784E-2</v>
      </c>
      <c r="F277" s="35">
        <f t="shared" si="8"/>
        <v>0.23511364504068055</v>
      </c>
      <c r="G277" s="35">
        <f t="shared" si="9"/>
        <v>0.73284008959157054</v>
      </c>
      <c r="H277" s="35">
        <f t="shared" si="10"/>
        <v>-3.4713493295390005</v>
      </c>
      <c r="I277" s="35">
        <f t="shared" si="11"/>
        <v>41.244430616254206</v>
      </c>
    </row>
    <row r="278" spans="1:9" x14ac:dyDescent="0.3">
      <c r="A278" s="3">
        <v>2025</v>
      </c>
      <c r="B278" s="35">
        <v>47.914083823110417</v>
      </c>
      <c r="C278" s="35">
        <v>0.1299581115271819</v>
      </c>
      <c r="D278" s="35">
        <v>3.8987433458154568</v>
      </c>
      <c r="E278" s="35">
        <v>2.0418322649374217E-2</v>
      </c>
      <c r="F278" s="35">
        <v>0.25991622305436379</v>
      </c>
      <c r="G278" s="35">
        <v>0.68814381481518305</v>
      </c>
      <c r="H278" s="35">
        <v>-3.0885811750344705</v>
      </c>
      <c r="I278" s="35">
        <v>49.822682465937504</v>
      </c>
    </row>
    <row r="279" spans="1:9" x14ac:dyDescent="0.3">
      <c r="A279" s="3">
        <v>2026</v>
      </c>
      <c r="B279" s="35">
        <v>47.914083823110417</v>
      </c>
      <c r="C279" s="35">
        <v>0.1299581115271819</v>
      </c>
      <c r="D279" s="35">
        <v>3.8987433458154568</v>
      </c>
      <c r="E279" s="35">
        <v>2.0418322649374217E-2</v>
      </c>
      <c r="F279" s="35">
        <v>0.25991622305436379</v>
      </c>
      <c r="G279" s="35">
        <v>0.68814381481518305</v>
      </c>
      <c r="H279" s="35">
        <v>-3.0885811750344705</v>
      </c>
      <c r="I279" s="35">
        <v>49.822682465937504</v>
      </c>
    </row>
    <row r="280" spans="1:9" x14ac:dyDescent="0.3">
      <c r="A280" s="3">
        <v>2027</v>
      </c>
      <c r="B280" s="35">
        <v>47.914083823110417</v>
      </c>
      <c r="C280" s="35">
        <v>0.1299581115271819</v>
      </c>
      <c r="D280" s="35">
        <v>3.8987433458154568</v>
      </c>
      <c r="E280" s="35">
        <v>2.0418322649374217E-2</v>
      </c>
      <c r="F280" s="35">
        <v>0.25991622305436379</v>
      </c>
      <c r="G280" s="35">
        <v>0.68814381481518305</v>
      </c>
      <c r="H280" s="35">
        <v>-3.0885811750344705</v>
      </c>
      <c r="I280" s="35">
        <v>49.822682465937504</v>
      </c>
    </row>
    <row r="281" spans="1:9" x14ac:dyDescent="0.3">
      <c r="A281" s="3">
        <v>2028</v>
      </c>
      <c r="B281" s="35">
        <v>47.914083823110417</v>
      </c>
      <c r="C281" s="35">
        <v>0.1299581115271819</v>
      </c>
      <c r="D281" s="35">
        <v>3.8987433458154568</v>
      </c>
      <c r="E281" s="35">
        <v>2.0418322649374217E-2</v>
      </c>
      <c r="F281" s="35">
        <v>0.25991622305436379</v>
      </c>
      <c r="G281" s="35">
        <v>0.68814381481518305</v>
      </c>
      <c r="H281" s="35">
        <v>-3.0885811750344705</v>
      </c>
      <c r="I281" s="35">
        <v>49.822682465937504</v>
      </c>
    </row>
    <row r="282" spans="1:9" x14ac:dyDescent="0.3">
      <c r="A282" s="3">
        <v>2029</v>
      </c>
      <c r="B282" s="35">
        <v>47.914083823110417</v>
      </c>
      <c r="C282" s="35">
        <v>0.1299581115271819</v>
      </c>
      <c r="D282" s="35">
        <v>3.8987433458154568</v>
      </c>
      <c r="E282" s="35">
        <v>2.0418322649374217E-2</v>
      </c>
      <c r="F282" s="35">
        <v>0.25991622305436379</v>
      </c>
      <c r="G282" s="35">
        <v>0.68814381481518305</v>
      </c>
      <c r="H282" s="35">
        <v>-3.0885811750344705</v>
      </c>
      <c r="I282" s="35">
        <v>49.822682465937504</v>
      </c>
    </row>
    <row r="283" spans="1:9" x14ac:dyDescent="0.3">
      <c r="A283" s="3">
        <v>2030</v>
      </c>
      <c r="B283" s="35">
        <v>57.610819909203549</v>
      </c>
      <c r="C283" s="35">
        <v>0.14489649188177203</v>
      </c>
      <c r="D283" s="35">
        <v>4.3468947564531604</v>
      </c>
      <c r="E283" s="35">
        <v>1.8768465343712803E-2</v>
      </c>
      <c r="F283" s="35">
        <v>0.28979298376354407</v>
      </c>
      <c r="G283" s="35">
        <v>0.63465168855580645</v>
      </c>
      <c r="H283" s="35">
        <v>-2.6694174078142892</v>
      </c>
      <c r="I283" s="35">
        <v>60.376406887387269</v>
      </c>
    </row>
    <row r="284" spans="1:9" x14ac:dyDescent="0.3">
      <c r="A284" s="3">
        <v>2031</v>
      </c>
      <c r="B284" s="35">
        <v>57.610819909203549</v>
      </c>
      <c r="C284" s="35">
        <v>0.14489649188177203</v>
      </c>
      <c r="D284" s="35">
        <v>4.3468947564531604</v>
      </c>
      <c r="E284" s="35">
        <v>1.8768465343712803E-2</v>
      </c>
      <c r="F284" s="35">
        <v>0.28979298376354407</v>
      </c>
      <c r="G284" s="35">
        <v>0.63465168855580645</v>
      </c>
      <c r="H284" s="35">
        <v>-2.6694174078142892</v>
      </c>
      <c r="I284" s="35">
        <v>60.376406887387269</v>
      </c>
    </row>
    <row r="285" spans="1:9" x14ac:dyDescent="0.3">
      <c r="A285" s="3">
        <v>2032</v>
      </c>
      <c r="B285" s="35">
        <v>57.610819909203549</v>
      </c>
      <c r="C285" s="35">
        <v>0.14489649188177203</v>
      </c>
      <c r="D285" s="35">
        <v>4.3468947564531604</v>
      </c>
      <c r="E285" s="35">
        <v>1.8768465343712803E-2</v>
      </c>
      <c r="F285" s="35">
        <v>0.28979298376354407</v>
      </c>
      <c r="G285" s="35">
        <v>0.63465168855580645</v>
      </c>
      <c r="H285" s="35">
        <v>-2.6694174078142892</v>
      </c>
      <c r="I285" s="35">
        <v>60.376406887387269</v>
      </c>
    </row>
    <row r="286" spans="1:9" x14ac:dyDescent="0.3">
      <c r="A286" s="3">
        <v>2033</v>
      </c>
      <c r="B286" s="35">
        <v>57.610819909203549</v>
      </c>
      <c r="C286" s="35">
        <v>0.14489649188177203</v>
      </c>
      <c r="D286" s="35">
        <v>4.3468947564531604</v>
      </c>
      <c r="E286" s="35">
        <v>1.8768465343712803E-2</v>
      </c>
      <c r="F286" s="35">
        <v>0.28979298376354407</v>
      </c>
      <c r="G286" s="35">
        <v>0.63465168855580645</v>
      </c>
      <c r="H286" s="35">
        <v>-2.6694174078142892</v>
      </c>
      <c r="I286" s="35">
        <v>60.376406887387269</v>
      </c>
    </row>
    <row r="287" spans="1:9" x14ac:dyDescent="0.3">
      <c r="A287" s="3">
        <v>2034</v>
      </c>
      <c r="B287" s="35">
        <v>57.610819909203549</v>
      </c>
      <c r="C287" s="35">
        <v>0.14489649188177203</v>
      </c>
      <c r="D287" s="35">
        <v>4.3468947564531604</v>
      </c>
      <c r="E287" s="35">
        <v>1.8768465343712803E-2</v>
      </c>
      <c r="F287" s="35">
        <v>0.28979298376354407</v>
      </c>
      <c r="G287" s="35">
        <v>0.63465168855580645</v>
      </c>
      <c r="H287" s="35">
        <v>-2.6694174078142892</v>
      </c>
      <c r="I287" s="35">
        <v>60.376406887387269</v>
      </c>
    </row>
    <row r="288" spans="1:9" x14ac:dyDescent="0.3">
      <c r="A288" s="3">
        <v>2035</v>
      </c>
      <c r="B288" s="35">
        <v>72.381363585987771</v>
      </c>
      <c r="C288" s="35">
        <v>0.16155200404903652</v>
      </c>
      <c r="D288" s="35">
        <v>4.8465601214710956</v>
      </c>
      <c r="E288" s="35">
        <v>1.957790487957782E-2</v>
      </c>
      <c r="F288" s="35">
        <v>0.32310400809807305</v>
      </c>
      <c r="G288" s="35">
        <v>0.85177421637182305</v>
      </c>
      <c r="H288" s="35">
        <v>-2.4667201895174635</v>
      </c>
      <c r="I288" s="35">
        <v>76.117211651339929</v>
      </c>
    </row>
    <row r="289" spans="1:9" x14ac:dyDescent="0.3">
      <c r="A289" s="3">
        <v>2036</v>
      </c>
      <c r="B289" s="35">
        <v>72.381363585987771</v>
      </c>
      <c r="C289" s="35">
        <v>0.16155200404903652</v>
      </c>
      <c r="D289" s="35">
        <v>4.8465601214710956</v>
      </c>
      <c r="E289" s="35">
        <v>1.957790487957782E-2</v>
      </c>
      <c r="F289" s="35">
        <v>0.32310400809807305</v>
      </c>
      <c r="G289" s="35">
        <v>0.85177421637182305</v>
      </c>
      <c r="H289" s="35">
        <v>-2.4667201895174635</v>
      </c>
      <c r="I289" s="35">
        <v>76.117211651339929</v>
      </c>
    </row>
    <row r="290" spans="1:9" x14ac:dyDescent="0.3">
      <c r="A290" s="3">
        <v>2037</v>
      </c>
      <c r="B290" s="35">
        <v>72.381363585987771</v>
      </c>
      <c r="C290" s="35">
        <v>0.16155200404903652</v>
      </c>
      <c r="D290" s="35">
        <v>4.8465601214710956</v>
      </c>
      <c r="E290" s="35">
        <v>1.957790487957782E-2</v>
      </c>
      <c r="F290" s="35">
        <v>0.32310400809807305</v>
      </c>
      <c r="G290" s="35">
        <v>0.85177421637182305</v>
      </c>
      <c r="H290" s="35">
        <v>-2.4667201895174635</v>
      </c>
      <c r="I290" s="35">
        <v>76.117211651339929</v>
      </c>
    </row>
    <row r="291" spans="1:9" x14ac:dyDescent="0.3">
      <c r="A291" s="3">
        <v>2038</v>
      </c>
      <c r="B291" s="35">
        <v>72.381363585987771</v>
      </c>
      <c r="C291" s="35">
        <v>0.16155200404903652</v>
      </c>
      <c r="D291" s="35">
        <v>4.8465601214710956</v>
      </c>
      <c r="E291" s="35">
        <v>1.957790487957782E-2</v>
      </c>
      <c r="F291" s="35">
        <v>0.32310400809807305</v>
      </c>
      <c r="G291" s="35">
        <v>0.85177421637182305</v>
      </c>
      <c r="H291" s="35">
        <v>-2.4667201895174635</v>
      </c>
      <c r="I291" s="35">
        <v>76.117211651339929</v>
      </c>
    </row>
    <row r="295" spans="1:9" s="6" customFormat="1" x14ac:dyDescent="0.3">
      <c r="A295" s="99" t="s">
        <v>269</v>
      </c>
      <c r="B295" s="100" t="s">
        <v>270</v>
      </c>
    </row>
    <row r="297" spans="1:9" x14ac:dyDescent="0.3">
      <c r="A297" s="101" t="s">
        <v>271</v>
      </c>
      <c r="B297" s="102" t="s">
        <v>272</v>
      </c>
      <c r="C297" s="123" t="s">
        <v>273</v>
      </c>
      <c r="D297" s="125" t="s">
        <v>274</v>
      </c>
      <c r="E297" s="126"/>
      <c r="F297" s="127"/>
      <c r="G297" s="125" t="s">
        <v>275</v>
      </c>
      <c r="H297" s="127"/>
      <c r="I297" s="102" t="s">
        <v>272</v>
      </c>
    </row>
    <row r="298" spans="1:9" x14ac:dyDescent="0.3">
      <c r="A298" s="102" t="s">
        <v>272</v>
      </c>
      <c r="B298" s="102" t="s">
        <v>272</v>
      </c>
      <c r="C298" s="124"/>
      <c r="D298" s="101" t="s">
        <v>276</v>
      </c>
      <c r="E298" s="101" t="s">
        <v>277</v>
      </c>
      <c r="F298" s="101" t="s">
        <v>278</v>
      </c>
      <c r="G298" s="101" t="s">
        <v>276</v>
      </c>
      <c r="H298" s="101" t="s">
        <v>277</v>
      </c>
      <c r="I298" s="101" t="s">
        <v>278</v>
      </c>
    </row>
    <row r="299" spans="1:9" x14ac:dyDescent="0.3">
      <c r="A299" s="103" t="s">
        <v>279</v>
      </c>
      <c r="B299" s="103" t="s">
        <v>272</v>
      </c>
      <c r="C299" s="103" t="s">
        <v>280</v>
      </c>
      <c r="D299" s="104">
        <v>0</v>
      </c>
      <c r="E299" s="104">
        <v>0</v>
      </c>
      <c r="F299" s="104">
        <v>0</v>
      </c>
      <c r="G299" s="105">
        <v>-2</v>
      </c>
      <c r="H299" s="105">
        <v>14</v>
      </c>
      <c r="I299" s="105">
        <v>10</v>
      </c>
    </row>
    <row r="300" spans="1:9" x14ac:dyDescent="0.3">
      <c r="A300" s="103" t="s">
        <v>281</v>
      </c>
      <c r="B300" s="103" t="s">
        <v>282</v>
      </c>
      <c r="C300" s="103" t="s">
        <v>280</v>
      </c>
      <c r="D300" s="105">
        <v>5</v>
      </c>
      <c r="E300" s="105">
        <v>4</v>
      </c>
      <c r="F300" s="105">
        <v>8</v>
      </c>
      <c r="G300" s="105">
        <v>23</v>
      </c>
      <c r="H300" s="105">
        <v>33</v>
      </c>
      <c r="I300" s="105">
        <v>22</v>
      </c>
    </row>
    <row r="301" spans="1:9" x14ac:dyDescent="0.3">
      <c r="A301" s="103">
        <v>-1981</v>
      </c>
      <c r="B301" s="103" t="s">
        <v>283</v>
      </c>
      <c r="C301" s="103" t="s">
        <v>280</v>
      </c>
      <c r="D301" s="105">
        <v>3</v>
      </c>
      <c r="E301" s="105">
        <v>0</v>
      </c>
      <c r="F301" s="105">
        <v>1</v>
      </c>
      <c r="G301" s="105">
        <v>8</v>
      </c>
      <c r="H301" s="105">
        <v>0</v>
      </c>
      <c r="I301" s="105">
        <v>4</v>
      </c>
    </row>
    <row r="302" spans="1:9" x14ac:dyDescent="0.3">
      <c r="A302" s="128" t="s">
        <v>284</v>
      </c>
      <c r="B302" s="129"/>
      <c r="C302" s="103" t="s">
        <v>280</v>
      </c>
      <c r="D302" s="105">
        <v>5</v>
      </c>
      <c r="E302" s="105">
        <v>3</v>
      </c>
      <c r="F302" s="105">
        <v>11</v>
      </c>
      <c r="G302" s="105">
        <v>11</v>
      </c>
      <c r="H302" s="105">
        <v>7</v>
      </c>
      <c r="I302" s="105">
        <v>0</v>
      </c>
    </row>
    <row r="303" spans="1:9" x14ac:dyDescent="0.3">
      <c r="A303" s="103" t="s">
        <v>272</v>
      </c>
      <c r="B303" s="103" t="s">
        <v>272</v>
      </c>
      <c r="C303" s="103" t="s">
        <v>285</v>
      </c>
      <c r="D303" s="105">
        <v>18</v>
      </c>
      <c r="E303" s="105">
        <v>7</v>
      </c>
      <c r="F303" s="105">
        <v>13</v>
      </c>
      <c r="G303" s="105">
        <v>32</v>
      </c>
      <c r="H303" s="105">
        <v>15</v>
      </c>
      <c r="I303" s="105">
        <v>23</v>
      </c>
    </row>
    <row r="304" spans="1:9" x14ac:dyDescent="0.3">
      <c r="A304" s="128" t="s">
        <v>286</v>
      </c>
      <c r="B304" s="129"/>
      <c r="C304" s="103" t="s">
        <v>285</v>
      </c>
      <c r="D304" s="105">
        <v>18</v>
      </c>
      <c r="E304" s="104">
        <v>0</v>
      </c>
      <c r="F304" s="105">
        <v>26</v>
      </c>
      <c r="G304" s="105">
        <v>39</v>
      </c>
      <c r="H304" s="105">
        <v>1</v>
      </c>
      <c r="I304" s="105">
        <v>48</v>
      </c>
    </row>
    <row r="305" spans="1:9" x14ac:dyDescent="0.3">
      <c r="A305" s="103" t="s">
        <v>287</v>
      </c>
      <c r="B305" s="103">
        <v>-1985</v>
      </c>
      <c r="C305" s="103" t="s">
        <v>280</v>
      </c>
      <c r="D305" s="128" t="s">
        <v>288</v>
      </c>
      <c r="E305" s="130"/>
      <c r="F305" s="129"/>
      <c r="G305" s="128" t="s">
        <v>289</v>
      </c>
      <c r="H305" s="129"/>
      <c r="I305" s="103" t="s">
        <v>272</v>
      </c>
    </row>
    <row r="308" spans="1:9" x14ac:dyDescent="0.3">
      <c r="B308" s="17"/>
      <c r="C308" s="106" t="s">
        <v>290</v>
      </c>
      <c r="D308" s="15" t="s">
        <v>276</v>
      </c>
      <c r="E308" s="15" t="s">
        <v>277</v>
      </c>
      <c r="F308" s="15" t="s">
        <v>291</v>
      </c>
    </row>
    <row r="309" spans="1:9" x14ac:dyDescent="0.3">
      <c r="B309" s="16"/>
      <c r="C309" s="107" t="s">
        <v>274</v>
      </c>
      <c r="D309" s="108">
        <f>SUM(D299+D300+D301+D302+D303+D304+8)/7</f>
        <v>8.1428571428571423</v>
      </c>
      <c r="E309" s="108">
        <f>SUM(E299+E300+E301+E302+E303+E304+8)/7</f>
        <v>3.1428571428571428</v>
      </c>
      <c r="F309" s="108">
        <f>SUM(F299+F300+F301+F302+F303+F304+8)/7</f>
        <v>9.5714285714285712</v>
      </c>
    </row>
    <row r="310" spans="1:9" x14ac:dyDescent="0.3">
      <c r="B310" s="16"/>
      <c r="C310" s="107" t="s">
        <v>292</v>
      </c>
      <c r="D310" s="109">
        <f>SUM(G299+G300+G301+G302+G303+G304+19)/7</f>
        <v>18.571428571428573</v>
      </c>
      <c r="E310" s="109">
        <f>SUM(H299+H300+H301+H302+H303+H304+19)/7</f>
        <v>12.714285714285714</v>
      </c>
      <c r="F310" s="109">
        <f>SUM(I299+I300+I301+I302+I303+I304+19)/7</f>
        <v>18</v>
      </c>
    </row>
    <row r="311" spans="1:9" x14ac:dyDescent="0.3">
      <c r="D311" s="34"/>
    </row>
    <row r="312" spans="1:9" x14ac:dyDescent="0.3">
      <c r="D312" s="34"/>
    </row>
    <row r="313" spans="1:9" x14ac:dyDescent="0.3">
      <c r="D313" s="34"/>
    </row>
    <row r="314" spans="1:9" x14ac:dyDescent="0.3">
      <c r="A314" s="4" t="s">
        <v>293</v>
      </c>
      <c r="B314" s="110" t="s">
        <v>294</v>
      </c>
      <c r="C314" s="5"/>
      <c r="D314" s="111"/>
      <c r="E314" s="5"/>
      <c r="F314" s="5"/>
      <c r="G314" s="5"/>
      <c r="H314" s="5"/>
      <c r="I314" s="5"/>
    </row>
    <row r="315" spans="1:9" x14ac:dyDescent="0.3">
      <c r="D315" s="34"/>
    </row>
    <row r="316" spans="1:9" x14ac:dyDescent="0.3">
      <c r="D316" s="34"/>
    </row>
    <row r="317" spans="1:9" x14ac:dyDescent="0.3">
      <c r="D317" s="34"/>
    </row>
    <row r="318" spans="1:9" x14ac:dyDescent="0.3">
      <c r="D318" s="34"/>
    </row>
    <row r="319" spans="1:9" x14ac:dyDescent="0.3">
      <c r="D319" s="34"/>
    </row>
    <row r="320" spans="1:9" x14ac:dyDescent="0.3">
      <c r="D320" s="34"/>
    </row>
    <row r="321" spans="4:4" x14ac:dyDescent="0.3">
      <c r="D321" s="34"/>
    </row>
    <row r="322" spans="4:4" x14ac:dyDescent="0.3">
      <c r="D322" s="34"/>
    </row>
    <row r="323" spans="4:4" x14ac:dyDescent="0.3">
      <c r="D323" s="34"/>
    </row>
    <row r="324" spans="4:4" x14ac:dyDescent="0.3">
      <c r="D324" s="34"/>
    </row>
    <row r="325" spans="4:4" x14ac:dyDescent="0.3">
      <c r="D325" s="34"/>
    </row>
    <row r="326" spans="4:4" x14ac:dyDescent="0.3">
      <c r="D326" s="34"/>
    </row>
    <row r="327" spans="4:4" x14ac:dyDescent="0.3">
      <c r="D327" s="34"/>
    </row>
    <row r="328" spans="4:4" x14ac:dyDescent="0.3">
      <c r="D328" s="34"/>
    </row>
    <row r="329" spans="4:4" x14ac:dyDescent="0.3">
      <c r="D329" s="34"/>
    </row>
    <row r="330" spans="4:4" x14ac:dyDescent="0.3">
      <c r="D330" s="34"/>
    </row>
    <row r="331" spans="4:4" x14ac:dyDescent="0.3">
      <c r="D331" s="34"/>
    </row>
    <row r="332" spans="4:4" x14ac:dyDescent="0.3">
      <c r="D332" s="34"/>
    </row>
    <row r="333" spans="4:4" x14ac:dyDescent="0.3">
      <c r="D333" s="34"/>
    </row>
    <row r="334" spans="4:4" x14ac:dyDescent="0.3">
      <c r="D334" s="34"/>
    </row>
    <row r="335" spans="4:4" x14ac:dyDescent="0.3">
      <c r="D335" s="34"/>
    </row>
    <row r="336" spans="4:4" x14ac:dyDescent="0.3">
      <c r="D336" s="34"/>
    </row>
    <row r="337" spans="1:9" x14ac:dyDescent="0.3">
      <c r="D337" s="34"/>
    </row>
    <row r="338" spans="1:9" x14ac:dyDescent="0.3">
      <c r="D338" s="34"/>
    </row>
    <row r="341" spans="1:9" x14ac:dyDescent="0.3">
      <c r="A341" s="99" t="s">
        <v>295</v>
      </c>
      <c r="B341" s="6"/>
      <c r="C341" s="6"/>
      <c r="D341" s="6"/>
      <c r="E341" s="6"/>
      <c r="F341" s="6"/>
      <c r="G341" s="6"/>
      <c r="H341" s="6"/>
      <c r="I341" s="6"/>
    </row>
    <row r="342" spans="1:9" x14ac:dyDescent="0.3">
      <c r="A342" s="112"/>
      <c r="B342" s="2"/>
      <c r="C342" s="2"/>
      <c r="D342" s="2"/>
      <c r="E342" s="2"/>
      <c r="F342" s="2"/>
      <c r="G342" s="2"/>
      <c r="H342" s="2"/>
      <c r="I342" s="2"/>
    </row>
    <row r="343" spans="1:9" x14ac:dyDescent="0.3">
      <c r="A343" s="113" t="s">
        <v>296</v>
      </c>
      <c r="B343" s="2"/>
      <c r="C343" s="2"/>
      <c r="D343" s="2"/>
      <c r="E343" s="2"/>
      <c r="F343" s="2"/>
      <c r="G343" s="2"/>
      <c r="H343" s="2"/>
      <c r="I343" s="2"/>
    </row>
    <row r="344" spans="1:9" x14ac:dyDescent="0.3">
      <c r="A344" s="113"/>
      <c r="B344" s="2"/>
      <c r="C344" s="2"/>
      <c r="D344" s="2"/>
      <c r="E344" s="2"/>
      <c r="F344" s="2"/>
      <c r="G344" s="2"/>
      <c r="H344" s="2"/>
      <c r="I344" s="2"/>
    </row>
    <row r="345" spans="1:9" x14ac:dyDescent="0.3">
      <c r="A345" s="113" t="s">
        <v>297</v>
      </c>
      <c r="B345" s="113" t="s">
        <v>298</v>
      </c>
      <c r="C345" s="2"/>
      <c r="D345" s="2"/>
      <c r="E345" s="2"/>
      <c r="F345" s="2"/>
      <c r="G345" s="2"/>
      <c r="H345" s="2"/>
      <c r="I345" s="2"/>
    </row>
    <row r="346" spans="1:9" x14ac:dyDescent="0.3">
      <c r="B346" s="18" t="s">
        <v>299</v>
      </c>
      <c r="C346" s="18" t="s">
        <v>300</v>
      </c>
      <c r="D346" s="114" t="s">
        <v>301</v>
      </c>
    </row>
    <row r="347" spans="1:9" x14ac:dyDescent="0.3">
      <c r="A347" s="113" t="s">
        <v>302</v>
      </c>
      <c r="B347" s="115">
        <v>1</v>
      </c>
      <c r="C347" s="115">
        <v>1</v>
      </c>
      <c r="D347" s="116">
        <f t="shared" ref="D347:D351" si="12">AVERAGE(B347:C347)</f>
        <v>1</v>
      </c>
    </row>
    <row r="348" spans="1:9" x14ac:dyDescent="0.3">
      <c r="A348" s="113" t="s">
        <v>303</v>
      </c>
      <c r="B348" s="3">
        <v>1.0468999999999999</v>
      </c>
      <c r="C348" s="3">
        <v>1.0267999999999999</v>
      </c>
      <c r="D348" s="114">
        <f t="shared" si="12"/>
        <v>1.0368499999999998</v>
      </c>
    </row>
    <row r="349" spans="1:9" x14ac:dyDescent="0.3">
      <c r="A349" s="113" t="s">
        <v>304</v>
      </c>
      <c r="B349" s="3">
        <v>1.1065</v>
      </c>
      <c r="C349" s="3">
        <v>1.0620000000000001</v>
      </c>
      <c r="D349" s="114">
        <f t="shared" si="12"/>
        <v>1.0842499999999999</v>
      </c>
    </row>
    <row r="350" spans="1:9" x14ac:dyDescent="0.3">
      <c r="A350" s="113" t="s">
        <v>305</v>
      </c>
      <c r="B350" s="3">
        <v>1.1546000000000001</v>
      </c>
      <c r="C350" s="3">
        <v>1.0926</v>
      </c>
      <c r="D350" s="114">
        <f t="shared" si="12"/>
        <v>1.1236000000000002</v>
      </c>
    </row>
    <row r="351" spans="1:9" x14ac:dyDescent="0.3">
      <c r="A351" s="113" t="s">
        <v>306</v>
      </c>
      <c r="B351" s="3">
        <v>1.2089000000000001</v>
      </c>
      <c r="C351" s="3">
        <v>1.2330000000000001</v>
      </c>
      <c r="D351" s="114">
        <f t="shared" si="12"/>
        <v>1.2209500000000002</v>
      </c>
    </row>
    <row r="352" spans="1:9" x14ac:dyDescent="0.3">
      <c r="D352" s="114"/>
    </row>
    <row r="353" spans="1:9" x14ac:dyDescent="0.3">
      <c r="A353" s="113" t="s">
        <v>307</v>
      </c>
      <c r="B353" s="115">
        <v>1</v>
      </c>
      <c r="C353" s="115">
        <v>1</v>
      </c>
      <c r="D353" s="116">
        <f>AVERAGE(B353:C353)</f>
        <v>1</v>
      </c>
    </row>
    <row r="354" spans="1:9" x14ac:dyDescent="0.3">
      <c r="A354" s="113" t="s">
        <v>308</v>
      </c>
      <c r="B354" s="3">
        <v>1.0366</v>
      </c>
      <c r="C354" s="3">
        <v>1.0281</v>
      </c>
      <c r="D354" s="114">
        <f>AVERAGE(B354:C354)</f>
        <v>1.0323500000000001</v>
      </c>
    </row>
    <row r="355" spans="1:9" x14ac:dyDescent="0.3">
      <c r="A355" s="113" t="s">
        <v>309</v>
      </c>
      <c r="B355" s="3">
        <v>1.0860000000000001</v>
      </c>
      <c r="C355" s="3">
        <v>1.0647</v>
      </c>
      <c r="D355" s="114">
        <f>AVERAGE(B355:C355)</f>
        <v>1.07535</v>
      </c>
    </row>
    <row r="356" spans="1:9" x14ac:dyDescent="0.3">
      <c r="A356" s="113" t="s">
        <v>310</v>
      </c>
      <c r="B356" s="3">
        <v>1.1275999999999999</v>
      </c>
      <c r="C356" s="3">
        <v>1.0964</v>
      </c>
      <c r="D356" s="114">
        <f>AVERAGE(B356:C356)</f>
        <v>1.1120000000000001</v>
      </c>
    </row>
    <row r="357" spans="1:9" x14ac:dyDescent="0.3">
      <c r="A357" s="113" t="s">
        <v>311</v>
      </c>
      <c r="B357" s="3">
        <v>1.1709000000000001</v>
      </c>
      <c r="C357" s="3">
        <v>1.1269</v>
      </c>
      <c r="D357" s="114">
        <f>AVERAGE(B357:C357)</f>
        <v>1.1489</v>
      </c>
    </row>
    <row r="358" spans="1:9" x14ac:dyDescent="0.3">
      <c r="A358" s="113"/>
    </row>
    <row r="359" spans="1:9" x14ac:dyDescent="0.3">
      <c r="A359" s="113" t="s">
        <v>312</v>
      </c>
      <c r="B359" s="115">
        <f>AVERAGE(B347,B353)</f>
        <v>1</v>
      </c>
      <c r="C359" s="115">
        <f t="shared" ref="C359:D359" si="13">AVERAGE(C347,C353)</f>
        <v>1</v>
      </c>
      <c r="D359" s="117">
        <f t="shared" si="13"/>
        <v>1</v>
      </c>
      <c r="E359" s="118"/>
      <c r="F359" s="118"/>
      <c r="G359" s="118"/>
      <c r="H359" s="118"/>
      <c r="I359" s="118"/>
    </row>
    <row r="360" spans="1:9" x14ac:dyDescent="0.3">
      <c r="A360" s="113" t="s">
        <v>313</v>
      </c>
      <c r="B360" s="115">
        <f t="shared" ref="B360:D363" si="14">AVERAGE(B348,B354)</f>
        <v>1.04175</v>
      </c>
      <c r="C360" s="115">
        <f t="shared" si="14"/>
        <v>1.02745</v>
      </c>
      <c r="D360" s="117">
        <f t="shared" si="14"/>
        <v>1.0346</v>
      </c>
      <c r="E360" s="118"/>
      <c r="F360" s="118"/>
      <c r="G360" s="118"/>
      <c r="H360" s="118"/>
      <c r="I360" s="118"/>
    </row>
    <row r="361" spans="1:9" x14ac:dyDescent="0.3">
      <c r="A361" s="113" t="s">
        <v>314</v>
      </c>
      <c r="B361" s="115">
        <f t="shared" si="14"/>
        <v>1.0962499999999999</v>
      </c>
      <c r="C361" s="115">
        <f t="shared" si="14"/>
        <v>1.06335</v>
      </c>
      <c r="D361" s="117">
        <f t="shared" si="14"/>
        <v>1.0798000000000001</v>
      </c>
      <c r="E361" s="118"/>
      <c r="F361" s="118"/>
      <c r="G361" s="118"/>
      <c r="H361" s="118"/>
      <c r="I361" s="118"/>
    </row>
    <row r="362" spans="1:9" x14ac:dyDescent="0.3">
      <c r="A362" s="113" t="s">
        <v>315</v>
      </c>
      <c r="B362" s="115">
        <f t="shared" si="14"/>
        <v>1.1411</v>
      </c>
      <c r="C362" s="115">
        <f t="shared" si="14"/>
        <v>1.0945</v>
      </c>
      <c r="D362" s="117">
        <f t="shared" si="14"/>
        <v>1.1178000000000001</v>
      </c>
      <c r="E362" s="118"/>
      <c r="F362" s="118"/>
      <c r="G362" s="118"/>
      <c r="H362" s="118"/>
      <c r="I362" s="118"/>
    </row>
    <row r="363" spans="1:9" x14ac:dyDescent="0.3">
      <c r="A363" s="113" t="s">
        <v>316</v>
      </c>
      <c r="B363" s="115">
        <f t="shared" si="14"/>
        <v>1.1899000000000002</v>
      </c>
      <c r="C363" s="115">
        <f t="shared" si="14"/>
        <v>1.1799500000000001</v>
      </c>
      <c r="D363" s="117">
        <f t="shared" si="14"/>
        <v>1.1849250000000002</v>
      </c>
      <c r="E363" s="118"/>
      <c r="F363" s="118"/>
      <c r="G363" s="118"/>
      <c r="H363" s="118"/>
      <c r="I363" s="118"/>
    </row>
    <row r="364" spans="1:9" x14ac:dyDescent="0.3">
      <c r="D364" s="119" t="s">
        <v>317</v>
      </c>
      <c r="E364" s="118"/>
      <c r="F364" s="118"/>
      <c r="G364" s="118"/>
      <c r="H364" s="118"/>
      <c r="I364" s="118"/>
    </row>
  </sheetData>
  <mergeCells count="7">
    <mergeCell ref="D305:F305"/>
    <mergeCell ref="G305:H305"/>
    <mergeCell ref="C297:C298"/>
    <mergeCell ref="D297:F297"/>
    <mergeCell ref="G297:H297"/>
    <mergeCell ref="A302:B302"/>
    <mergeCell ref="A304:B304"/>
  </mergeCells>
  <hyperlinks>
    <hyperlink ref="I31" r:id="rId1" xr:uid="{B692FB82-5404-4EBE-B33A-DB4F650D51F5}"/>
    <hyperlink ref="I36" r:id="rId2" xr:uid="{3E9F4776-6492-41C9-80D5-975162B63F76}"/>
    <hyperlink ref="I26" r:id="rId3" xr:uid="{45CEAE65-A73F-4101-B75F-D54ED6DC18A5}"/>
    <hyperlink ref="B295" r:id="rId4" xr:uid="{A03B7112-1445-47D9-8CE3-55E75B4FE159}"/>
    <hyperlink ref="B314" r:id="rId5" xr:uid="{E2942D14-72CE-494E-BD3B-CE1E08283FB3}"/>
  </hyperlinks>
  <pageMargins left="0.7" right="0.7" top="0.75" bottom="0.75" header="0.3" footer="0.3"/>
  <pageSetup paperSize="9" orientation="portrait" horizontalDpi="4294967295" verticalDpi="429496729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Change in daily cycle trips</vt:lpstr>
      <vt:lpstr>eBike hire scheme calcs</vt:lpstr>
      <vt:lpstr>Factors and data</vt:lpstr>
    </vt:vector>
  </TitlesOfParts>
  <Company>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Dimond</dc:creator>
  <cp:lastModifiedBy>Neil Taylor</cp:lastModifiedBy>
  <dcterms:created xsi:type="dcterms:W3CDTF">2016-09-15T13:34:21Z</dcterms:created>
  <dcterms:modified xsi:type="dcterms:W3CDTF">2018-12-19T18:51:17Z</dcterms:modified>
</cp:coreProperties>
</file>